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sonj.sharepoint.com/sites/DCA-SRD/Shared Documents/Infrastructure Programs/2 - Smart Move Program/Smart Move Program V2/1 - Application Materials/SAU V2/"/>
    </mc:Choice>
  </mc:AlternateContent>
  <xr:revisionPtr revIDLastSave="395" documentId="8_{1923DB90-0B6E-4659-A283-9AE78BBACAEC}" xr6:coauthVersionLast="47" xr6:coauthVersionMax="47" xr10:uidLastSave="{F3D3E637-CB62-4520-A6EE-F3ED12140161}"/>
  <workbookProtection workbookAlgorithmName="SHA-512" workbookHashValue="Jvb6xSBJCoZfQ6huxPi52wwZtW6m9ZI48agoMWD6c25jyPI87yAle3mRGWBtpuq8pI28gvwJN3SXu61pNBp5Qw==" workbookSaltValue="IdddsG6KvbnuJrU0C6Hj/A==" workbookSpinCount="100000" lockStructure="1"/>
  <bookViews>
    <workbookView xWindow="-108" yWindow="-108" windowWidth="23256" windowHeight="12456" xr2:uid="{96630DB0-6CC0-4179-870E-F13C53E9837E}"/>
  </bookViews>
  <sheets>
    <sheet name="1. Instructions" sheetId="14" r:id="rId1"/>
    <sheet name="2. Unit Mix" sheetId="1" r:id="rId2"/>
    <sheet name="3. Development Costs" sheetId="13" r:id="rId3"/>
    <sheet name="4. Sources and Uses" sheetId="12" r:id="rId4"/>
    <sheet name="Affordability Calculator" sheetId="10"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 l="1"/>
  <c r="F36" i="1"/>
  <c r="C70" i="1" s="1"/>
  <c r="I36" i="1"/>
  <c r="C77" i="1" s="1"/>
  <c r="C72" i="1" l="1"/>
  <c r="D69" i="1" l="1"/>
  <c r="C73" i="1"/>
  <c r="B6" i="1"/>
  <c r="B8" i="1" a="1"/>
  <c r="B8" i="1" s="1"/>
  <c r="C55" i="13"/>
  <c r="C59" i="13"/>
  <c r="C46" i="13"/>
  <c r="C57" i="13" s="1"/>
  <c r="C69" i="1"/>
  <c r="H12" i="1" a="1"/>
  <c r="H34" i="1" a="1"/>
  <c r="H16" i="1" a="1"/>
  <c r="H20" i="1" a="1"/>
  <c r="H11" i="1" a="1"/>
  <c r="H27" i="1" a="1"/>
  <c r="H22" i="1" a="1"/>
  <c r="H32" i="1" a="1"/>
  <c r="H21" i="1" a="1"/>
  <c r="H30" i="1" a="1"/>
  <c r="H17" i="1" a="1"/>
  <c r="H33" i="1" a="1"/>
  <c r="H31" i="1" a="1"/>
  <c r="H26" i="1" a="1"/>
  <c r="H15" i="1" a="1"/>
  <c r="H19" i="1" a="1"/>
  <c r="H14" i="1" a="1"/>
  <c r="H29" i="1" a="1"/>
  <c r="H23" i="1" a="1"/>
  <c r="E13" i="12" a="1"/>
  <c r="H24" i="1" a="1"/>
  <c r="C14" i="12" a="1"/>
  <c r="H35" i="1" a="1"/>
  <c r="H18" i="1" a="1"/>
  <c r="H13" i="1" a="1"/>
  <c r="H28" i="1" a="1"/>
  <c r="H25" i="1" a="1"/>
  <c r="D73" i="1" l="1"/>
  <c r="B7" i="1"/>
  <c r="H35" i="1"/>
  <c r="H29" i="1"/>
  <c r="H23" i="1"/>
  <c r="H17" i="1"/>
  <c r="H34" i="1"/>
  <c r="H28" i="1"/>
  <c r="H22" i="1"/>
  <c r="H16" i="1"/>
  <c r="H33" i="1"/>
  <c r="H27" i="1"/>
  <c r="H21" i="1"/>
  <c r="H15" i="1"/>
  <c r="H32" i="1"/>
  <c r="H26" i="1"/>
  <c r="H20" i="1"/>
  <c r="H14" i="1"/>
  <c r="H31" i="1"/>
  <c r="H25" i="1"/>
  <c r="H19" i="1"/>
  <c r="H13" i="1"/>
  <c r="H30" i="1"/>
  <c r="H24" i="1"/>
  <c r="H18" i="1"/>
  <c r="H12" i="1"/>
  <c r="H11" i="1"/>
  <c r="C14" i="12"/>
  <c r="E13" i="12"/>
  <c r="C36" i="13"/>
  <c r="C56" i="13" s="1"/>
  <c r="C26" i="13"/>
  <c r="C54" i="13" s="1"/>
  <c r="C7" i="13"/>
  <c r="C52" i="13" s="1"/>
  <c r="H36" i="1" l="1"/>
  <c r="C5" i="10"/>
  <c r="C6" i="10" s="1"/>
  <c r="C14" i="10" s="1"/>
  <c r="C8" i="10"/>
  <c r="C11" i="10" s="1"/>
  <c r="C13" i="10" s="1"/>
  <c r="C15" i="10" s="1"/>
  <c r="B41" i="1"/>
  <c r="C41" i="1"/>
  <c r="D41" i="1"/>
  <c r="B42" i="1"/>
  <c r="C42" i="1"/>
  <c r="D42" i="1"/>
  <c r="B43" i="1"/>
  <c r="C43" i="1"/>
  <c r="D43" i="1"/>
  <c r="B44" i="1"/>
  <c r="C44" i="1"/>
  <c r="D44" i="1"/>
  <c r="B45" i="1"/>
  <c r="C45" i="1"/>
  <c r="D45" i="1"/>
  <c r="B46" i="1"/>
  <c r="C46" i="1"/>
  <c r="D46" i="1"/>
  <c r="B47" i="1"/>
  <c r="C47" i="1"/>
  <c r="D47" i="1"/>
  <c r="B48" i="1"/>
  <c r="C48" i="1"/>
  <c r="D48" i="1"/>
  <c r="B49" i="1"/>
  <c r="C49" i="1"/>
  <c r="D49" i="1"/>
  <c r="B50" i="1"/>
  <c r="C50" i="1"/>
  <c r="D50" i="1"/>
  <c r="B51" i="1"/>
  <c r="C51" i="1"/>
  <c r="D51" i="1"/>
  <c r="B52" i="1"/>
  <c r="C52" i="1"/>
  <c r="D52" i="1"/>
  <c r="B53" i="1"/>
  <c r="C53" i="1"/>
  <c r="D53" i="1"/>
  <c r="B54" i="1"/>
  <c r="C54" i="1"/>
  <c r="D54" i="1"/>
  <c r="B55" i="1"/>
  <c r="C55" i="1"/>
  <c r="D55" i="1"/>
  <c r="B56" i="1"/>
  <c r="C56" i="1"/>
  <c r="D56" i="1"/>
  <c r="B57" i="1"/>
  <c r="C57" i="1"/>
  <c r="D57" i="1"/>
  <c r="B58" i="1"/>
  <c r="C58" i="1"/>
  <c r="D58" i="1"/>
  <c r="B59" i="1"/>
  <c r="C59" i="1"/>
  <c r="D59" i="1"/>
  <c r="B60" i="1"/>
  <c r="C60" i="1"/>
  <c r="D60" i="1"/>
  <c r="B61" i="1"/>
  <c r="C61" i="1"/>
  <c r="D61" i="1"/>
  <c r="B62" i="1"/>
  <c r="C62" i="1"/>
  <c r="D62" i="1"/>
  <c r="B63" i="1"/>
  <c r="C63" i="1"/>
  <c r="D63" i="1"/>
  <c r="B64" i="1"/>
  <c r="C64" i="1"/>
  <c r="D64" i="1"/>
  <c r="B40" i="1"/>
  <c r="C40" i="1"/>
  <c r="D40" i="1"/>
  <c r="C71" i="1" l="1"/>
  <c r="E65" i="1"/>
  <c r="B66" i="1"/>
  <c r="B67" i="1"/>
  <c r="C66" i="1"/>
  <c r="D66" i="1"/>
  <c r="C67" i="1"/>
  <c r="D67" i="1"/>
  <c r="C10" i="13" l="1"/>
  <c r="C78" i="1" l="1"/>
  <c r="C14" i="13" l="1"/>
  <c r="C53" i="13" s="1"/>
  <c r="C58" i="13" s="1"/>
  <c r="C60" i="13" s="1"/>
  <c r="E26" i="13" s="1"/>
  <c r="G49" i="13" l="1"/>
  <c r="E49" i="13"/>
  <c r="C6" i="12"/>
  <c r="C7" i="12"/>
  <c r="C15" i="12" l="1"/>
  <c r="C8" i="12"/>
  <c r="C18" i="12" l="1"/>
  <c r="D19" i="12" l="1"/>
  <c r="D18" i="12"/>
  <c r="C19"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<sst xmlns="http://schemas.openxmlformats.org/spreadsheetml/2006/main" count="127" uniqueCount="107">
  <si>
    <t>1. Instructions</t>
  </si>
  <si>
    <t>Read all instructions prior to filling out information on any other sheet in this workbook.</t>
  </si>
  <si>
    <t xml:space="preserve">Note: Throughout the workbook, only white cells can be edited. </t>
  </si>
  <si>
    <t>2. Unit Mix</t>
  </si>
  <si>
    <r>
      <rPr>
        <b/>
        <sz val="14"/>
        <color rgb="FF000000"/>
        <rFont val="Tenorite"/>
      </rPr>
      <t>Enter Unit Mix and Pricing</t>
    </r>
    <r>
      <rPr>
        <b/>
        <sz val="12"/>
        <color rgb="FF000000"/>
        <rFont val="Tenorite"/>
      </rPr>
      <t xml:space="preserve"> -</t>
    </r>
    <r>
      <rPr>
        <sz val="11"/>
        <color rgb="FF000000"/>
        <rFont val="Tenorite"/>
      </rPr>
      <t xml:space="preserve"> The Unit Mix sheet is designed to capture details for each individual unit in the proposed development. Each unit should be labeled with a unique Unit ID, and all subsequent fields must be completed. Square footage is limited based on the number of bedrooms: 2 Bedroom, 3 Bedroom, and 4 Bedroom units are restricted to 1,200, 1,400, and 1,600 square feet, respectively.  Note: </t>
    </r>
    <r>
      <rPr>
        <b/>
        <sz val="11"/>
        <color rgb="FF000000"/>
        <rFont val="Tenorite"/>
      </rPr>
      <t>National Objective (LMI/UN), Number of Bedrooms</t>
    </r>
    <r>
      <rPr>
        <sz val="11"/>
        <color rgb="FF000000"/>
        <rFont val="Tenorite"/>
      </rPr>
      <t xml:space="preserve">, and </t>
    </r>
    <r>
      <rPr>
        <b/>
        <sz val="11"/>
        <color rgb="FF000000"/>
        <rFont val="Tenorite"/>
      </rPr>
      <t>Attached/Detached</t>
    </r>
    <r>
      <rPr>
        <sz val="11"/>
        <color rgb="FF000000"/>
        <rFont val="Tenorite"/>
      </rPr>
      <t xml:space="preserve"> fields will have dropdown selections.
The workbook will generally highlight any entries that violate these basic requirements. For example, the screenshot below shows the workbook highlighting repeat Unit IDs and a square footage exceeding allowable limits. A red, bold error message will appear if there are any invalid entries.</t>
    </r>
  </si>
  <si>
    <r>
      <rPr>
        <b/>
        <sz val="12"/>
        <color theme="1"/>
        <rFont val="Tenorite"/>
      </rPr>
      <t>*Note on LMI Percentage</t>
    </r>
    <r>
      <rPr>
        <b/>
        <sz val="11"/>
        <color theme="1"/>
        <rFont val="Tenorite"/>
      </rPr>
      <t xml:space="preserve"> - </t>
    </r>
    <r>
      <rPr>
        <sz val="11"/>
        <color theme="1"/>
        <rFont val="Tenorite"/>
      </rPr>
      <t xml:space="preserve">At the bottom of the </t>
    </r>
    <r>
      <rPr>
        <b/>
        <sz val="11"/>
        <color theme="1"/>
        <rFont val="Tenorite"/>
      </rPr>
      <t>Unit Mix and Pricing</t>
    </r>
    <r>
      <rPr>
        <sz val="11"/>
        <color theme="1"/>
        <rFont val="Tenorite"/>
      </rPr>
      <t xml:space="preserve"> table is a running percentage of the LMI units based on your entries. The LMI Percentage cannot fall below 65%.</t>
    </r>
  </si>
  <si>
    <r>
      <rPr>
        <b/>
        <sz val="12"/>
        <color theme="1"/>
        <rFont val="Tenorite"/>
      </rPr>
      <t xml:space="preserve">*Note on Proposed Sales Price - </t>
    </r>
    <r>
      <rPr>
        <sz val="12"/>
        <color theme="1"/>
        <rFont val="Tenorite"/>
      </rPr>
      <t>T</t>
    </r>
    <r>
      <rPr>
        <sz val="11"/>
        <color theme="1"/>
        <rFont val="Tenorite"/>
      </rPr>
      <t xml:space="preserve">he proposed sales price for each unit will be the basis for the amount of "Developer Required Funding" that the developer will have to secure for the project, however, developers will keep all sales. </t>
    </r>
  </si>
  <si>
    <r>
      <rPr>
        <b/>
        <sz val="14"/>
        <color theme="1"/>
        <rFont val="Tenorite"/>
      </rPr>
      <t>Review Unit Mix Summary</t>
    </r>
    <r>
      <rPr>
        <b/>
        <sz val="12"/>
        <color theme="1"/>
        <rFont val="Tenorite"/>
      </rPr>
      <t xml:space="preserve"> -</t>
    </r>
    <r>
      <rPr>
        <b/>
        <sz val="11"/>
        <color theme="1"/>
        <rFont val="Tenorite"/>
      </rPr>
      <t xml:space="preserve"> </t>
    </r>
    <r>
      <rPr>
        <sz val="11"/>
        <color theme="1"/>
        <rFont val="Tenorite"/>
      </rPr>
      <t>This step does not require data entry. Simply review the summary of the data supplied in the Unit Mix and Pricing table. Note: A Down Payment Assistance (DPA) setaside is calculated per unit, which will lower the maximum amount of funding immediately available for development costs. However, the program may utilize these funds for unforeseen development costs should the need arise and should the budget allow. The program will cover eligible development costs to the extent allowable, but must ensure adequate DPA funding is available in Phase II for each development. Example summary below:</t>
    </r>
  </si>
  <si>
    <t>3. Development Costs</t>
  </si>
  <si>
    <r>
      <rPr>
        <b/>
        <sz val="14"/>
        <color theme="1"/>
        <rFont val="Tenorite"/>
      </rPr>
      <t>Enter Development Costs</t>
    </r>
    <r>
      <rPr>
        <b/>
        <sz val="12"/>
        <color theme="1"/>
        <rFont val="Tenorite"/>
      </rPr>
      <t xml:space="preserve"> - </t>
    </r>
    <r>
      <rPr>
        <b/>
        <sz val="11"/>
        <color theme="1"/>
        <rFont val="Tenorite"/>
      </rPr>
      <t xml:space="preserve"> </t>
    </r>
    <r>
      <rPr>
        <sz val="11"/>
        <color theme="1"/>
        <rFont val="Tenorite"/>
      </rPr>
      <t>On the "Development Costs" sheet, enter all project costs associated with the development. These costs may include land acquisition, construction, various soft costs, financing fees, insurance, bonding and other financial guarantees, and the developer fee. There is also a section to enter costs that may not fit into any of the categories or subcategories within the sheet. All of these costs will be summarized in a table at the bottom of the sheet. Please utilize the "Notes" column should any details or clarifications be necessary on a specific item. Note: All costs are subject to the review of DCA for cost reasonability. Example below:</t>
    </r>
  </si>
  <si>
    <t>4. Sources and Uses</t>
  </si>
  <si>
    <r>
      <rPr>
        <b/>
        <sz val="14"/>
        <color theme="1"/>
        <rFont val="Tenorite"/>
      </rPr>
      <t>Specify Funding From Other Sources</t>
    </r>
    <r>
      <rPr>
        <b/>
        <sz val="12"/>
        <color theme="1"/>
        <rFont val="Tenorite"/>
      </rPr>
      <t xml:space="preserve"> -</t>
    </r>
    <r>
      <rPr>
        <sz val="11"/>
        <color theme="1"/>
        <rFont val="Tenorite"/>
      </rPr>
      <t xml:space="preserve"> Enter the amount of funding from other sources by category and include notes if necessary to clarify. Generally speaking, applicants should strive to have their Total Loans match the Developer Required Funding amount listed under the "Required Funding Summary" table. This is the simplest path to establishing the necessary required funding to complete a project. </t>
    </r>
  </si>
  <si>
    <t>Should there be a deficit in required funds, the summary chart will resemble the chart below:</t>
  </si>
  <si>
    <r>
      <t xml:space="preserve">Once all steps have been completed, information has been reviewed and the workbook no longer displays any </t>
    </r>
    <r>
      <rPr>
        <b/>
        <sz val="11"/>
        <color rgb="FFC00000"/>
        <rFont val="Tenorite"/>
      </rPr>
      <t xml:space="preserve">red </t>
    </r>
    <r>
      <rPr>
        <b/>
        <sz val="11"/>
        <rFont val="Tenorite"/>
      </rPr>
      <t>warnings, save the workbook and include it as an attachment in your application.</t>
    </r>
  </si>
  <si>
    <t>Unit Mix</t>
  </si>
  <si>
    <t xml:space="preserve">Data may be entered in white boxes. Please fill out all information for each unit. </t>
  </si>
  <si>
    <t>Unit Mix and Pricing</t>
  </si>
  <si>
    <t>Unit ID</t>
  </si>
  <si>
    <t>National Objective (LMI/UN)</t>
  </si>
  <si>
    <t>Number of Bedrooms</t>
  </si>
  <si>
    <t>Attached/Detached</t>
  </si>
  <si>
    <t>Square Footage</t>
  </si>
  <si>
    <t>Cost/Sq. Foot</t>
  </si>
  <si>
    <t>Housing Construction Cost</t>
  </si>
  <si>
    <t>Proposed Sales Price</t>
  </si>
  <si>
    <t>Total</t>
  </si>
  <si>
    <t>Step 2: Enter Projected Sales Figures</t>
  </si>
  <si>
    <t>Column1</t>
  </si>
  <si>
    <t>Unit Mix Summary</t>
  </si>
  <si>
    <t>Units</t>
  </si>
  <si>
    <t>Square Feet</t>
  </si>
  <si>
    <t>Housing Construction Costs</t>
  </si>
  <si>
    <t>LMI Percentage</t>
  </si>
  <si>
    <t>Down Payment Assistance (DPA)</t>
  </si>
  <si>
    <t>Max Grant</t>
  </si>
  <si>
    <t>DPA Reserve (20% of Sales)</t>
  </si>
  <si>
    <t>Grant Cap ($15M - DPA Reserve)</t>
  </si>
  <si>
    <t>Development Costs</t>
  </si>
  <si>
    <t>Data may be entered in all white boxes; if there are no costs associated with a specific item, please enter 0 or leave it blank. Please enter any relevant details or clarifications in the "Notes" section if necessary.</t>
  </si>
  <si>
    <t>Land Acquisition</t>
  </si>
  <si>
    <t>Notes</t>
  </si>
  <si>
    <t>Acquisition Costs</t>
  </si>
  <si>
    <t>Appraisal Fees</t>
  </si>
  <si>
    <t>Total Land Acquisition</t>
  </si>
  <si>
    <t>Construction Costs</t>
  </si>
  <si>
    <t>Site Preparation/Clearance/Demolition</t>
  </si>
  <si>
    <t>Standard Infrastructure Costs</t>
  </si>
  <si>
    <t>Resilient Infrastructure Costs</t>
  </si>
  <si>
    <t>Total Construction Costs</t>
  </si>
  <si>
    <t>Soft Costs</t>
  </si>
  <si>
    <t>Architecture</t>
  </si>
  <si>
    <t>Engineering</t>
  </si>
  <si>
    <t>Inspections and Permits</t>
  </si>
  <si>
    <t>Market Analyst</t>
  </si>
  <si>
    <t>Legal Services (Including Accounting Fees and Cost Certification)</t>
  </si>
  <si>
    <t>Recordation Fees and Transaction Taxes</t>
  </si>
  <si>
    <t>Marketing Specialist</t>
  </si>
  <si>
    <t>Consultancy Services</t>
  </si>
  <si>
    <t>Construction Period Holding Costs</t>
  </si>
  <si>
    <t>Total Soft Costs</t>
  </si>
  <si>
    <t>Financing Fees</t>
  </si>
  <si>
    <t>Insurance, Bonding, and Other Financial Guarantees</t>
  </si>
  <si>
    <t>Insurance (Including Builder's Risk and Title Binders)</t>
  </si>
  <si>
    <t>Bond Requirements (Including Surety Fees)</t>
  </si>
  <si>
    <t>Other Financial Guarantees</t>
  </si>
  <si>
    <t>Total Insurance, Bonding, and Other Financial Guarantees</t>
  </si>
  <si>
    <t>Other/Miscellaneous Costs</t>
  </si>
  <si>
    <t>Total Other/Miscellaneous Costs</t>
  </si>
  <si>
    <t>Developer Fee</t>
  </si>
  <si>
    <t>Developer Fee (Cannot Exceed 10% of Total Development Cost)</t>
  </si>
  <si>
    <t>Project Cost Summary</t>
  </si>
  <si>
    <t>Category Totals</t>
  </si>
  <si>
    <t>Total Development Cost (TDC)</t>
  </si>
  <si>
    <t>Developer Fee (Max 10% TDC)</t>
  </si>
  <si>
    <t>Sources and Uses</t>
  </si>
  <si>
    <t xml:space="preserve">Data may be entered in all white boxes; if there are no figures associated with a specific item, please enter 0 or leave it blank. Please enter any relevant details or clarifications in the "Description." </t>
  </si>
  <si>
    <t>Required Funding Summary</t>
  </si>
  <si>
    <t>Max Program Funding</t>
  </si>
  <si>
    <t>Developer Required Funding (Sales + Costs Beyond Program Cap)</t>
  </si>
  <si>
    <t>Total Development Cost</t>
  </si>
  <si>
    <t>Developer Funding Sources</t>
  </si>
  <si>
    <t>Description</t>
  </si>
  <si>
    <t xml:space="preserve">Total Loans </t>
  </si>
  <si>
    <t>Developer Funds/Cash</t>
  </si>
  <si>
    <t>Other (Grants, Donations, Nonprofit Assistance)</t>
  </si>
  <si>
    <t>Total Developer Contribution</t>
  </si>
  <si>
    <t>Total Funding From All Sources</t>
  </si>
  <si>
    <t>Review Preliminary Grant Award</t>
  </si>
  <si>
    <t>Funding Surplus/Deficit</t>
  </si>
  <si>
    <t>Preliminary Grant Award</t>
  </si>
  <si>
    <t>Affordablilty Calculator</t>
  </si>
  <si>
    <t>2 Bedroom</t>
  </si>
  <si>
    <t>3 Bedroom</t>
  </si>
  <si>
    <t>4 Bedroom</t>
  </si>
  <si>
    <t>Proposed Home Price</t>
  </si>
  <si>
    <t>Very Low Income Limit</t>
  </si>
  <si>
    <t>Gross Monthly Income</t>
  </si>
  <si>
    <t>Max Affordable Monthly Cost (30%)</t>
  </si>
  <si>
    <t>Down Payment (%)</t>
  </si>
  <si>
    <t>Loan Amount</t>
  </si>
  <si>
    <t>Annual Interest Rate</t>
  </si>
  <si>
    <t>Loan Term (Years)</t>
  </si>
  <si>
    <t>Monthly Mortgage Payment</t>
  </si>
  <si>
    <t>Monthly Property Taxes &amp; Ins.</t>
  </si>
  <si>
    <t>Total Monthly Housing Cost</t>
  </si>
  <si>
    <t>Max Affordable Home Price</t>
  </si>
  <si>
    <t>Affordable?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</si>
</sst>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Aptos Narrow"/>
      <family val="2"/>
      <scheme val="minor"/>
    </font>
    <font>
      <sz val="11"/>
      <color theme="1"/>
      <name val="Aptos Narrow"/>
      <family val="2"/>
      <scheme val="minor"/>
    </font>
    <font>
      <sz val="8"/>
      <name val="Aptos Narrow"/>
      <family val="2"/>
      <scheme val="minor"/>
    </font>
    <font>
      <sz val="11"/>
      <color theme="1"/>
      <name val="Tenorite"/>
    </font>
    <font>
      <b/>
      <sz val="11"/>
      <color theme="1"/>
      <name val="Tenorite"/>
    </font>
    <font>
      <b/>
      <sz val="11"/>
      <color theme="0"/>
      <name val="Tenorite"/>
    </font>
    <font>
      <b/>
      <sz val="12"/>
      <color theme="1"/>
      <name val="Tenorite"/>
    </font>
    <font>
      <b/>
      <sz val="11"/>
      <color rgb="FFC00000"/>
      <name val="Tenorite"/>
    </font>
    <font>
      <b/>
      <sz val="12"/>
      <color rgb="FFC00000"/>
      <name val="Tenorite"/>
    </font>
    <font>
      <b/>
      <u/>
      <sz val="16"/>
      <color theme="1"/>
      <name val="Tenorite"/>
    </font>
    <font>
      <b/>
      <sz val="14"/>
      <name val="Tenorite"/>
    </font>
    <font>
      <sz val="11"/>
      <color rgb="FF000000"/>
      <name val="Tenorite"/>
    </font>
    <font>
      <b/>
      <sz val="11"/>
      <name val="Tenorite"/>
    </font>
    <font>
      <b/>
      <sz val="14"/>
      <color theme="1"/>
      <name val="Tenorite"/>
    </font>
    <font>
      <b/>
      <sz val="16"/>
      <color theme="1"/>
      <name val="Tenorite"/>
    </font>
    <font>
      <b/>
      <sz val="14"/>
      <color rgb="FF000000"/>
      <name val="Tenorite"/>
    </font>
    <font>
      <b/>
      <sz val="12"/>
      <color rgb="FF000000"/>
      <name val="Tenorite"/>
    </font>
    <font>
      <b/>
      <sz val="11"/>
      <color rgb="FF000000"/>
      <name val="Tenorite"/>
    </font>
    <font>
      <sz val="12"/>
      <color theme="1"/>
      <name val="Tenorite"/>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
      <patternFill patternType="solid">
        <fgColor rgb="FFDAE0EF"/>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top style="thin">
        <color rgb="FF000000"/>
      </top>
      <bottom/>
      <diagonal/>
    </border>
    <border>
      <left/>
      <right/>
      <top/>
      <bottom style="thin">
        <color indexed="64"/>
      </bottom>
      <diagonal/>
    </border>
    <border>
      <left style="thin">
        <color rgb="FF000000"/>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3" fillId="0" borderId="0" xfId="0" applyFont="1"/>
    <xf numFmtId="0" fontId="5" fillId="2" borderId="0" xfId="0" applyFont="1" applyFill="1"/>
    <xf numFmtId="44" fontId="3" fillId="0" borderId="0" xfId="1" applyFont="1"/>
    <xf numFmtId="0" fontId="5" fillId="2" borderId="1" xfId="0" applyFont="1" applyFill="1" applyBorder="1"/>
    <xf numFmtId="0" fontId="3" fillId="3" borderId="1" xfId="0" applyFont="1" applyFill="1" applyBorder="1"/>
    <xf numFmtId="0" fontId="3" fillId="3" borderId="0" xfId="0" applyFont="1" applyFill="1"/>
    <xf numFmtId="0" fontId="3" fillId="2" borderId="0" xfId="0" applyFont="1" applyFill="1"/>
    <xf numFmtId="44" fontId="3" fillId="3" borderId="0" xfId="0" applyNumberFormat="1" applyFont="1" applyFill="1"/>
    <xf numFmtId="1" fontId="3" fillId="3" borderId="1" xfId="0" applyNumberFormat="1" applyFont="1" applyFill="1" applyBorder="1"/>
    <xf numFmtId="44" fontId="3" fillId="3" borderId="1" xfId="0" applyNumberFormat="1" applyFont="1" applyFill="1" applyBorder="1"/>
    <xf numFmtId="44" fontId="3" fillId="3" borderId="1" xfId="1" applyFont="1" applyFill="1" applyBorder="1"/>
    <xf numFmtId="0" fontId="5" fillId="2" borderId="2" xfId="0" applyFont="1" applyFill="1" applyBorder="1"/>
    <xf numFmtId="44" fontId="3" fillId="3" borderId="2" xfId="1" applyFont="1" applyFill="1" applyBorder="1"/>
    <xf numFmtId="0" fontId="5" fillId="2" borderId="3" xfId="0" applyFont="1" applyFill="1" applyBorder="1"/>
    <xf numFmtId="44" fontId="3" fillId="3" borderId="3" xfId="1" applyFont="1" applyFill="1" applyBorder="1"/>
    <xf numFmtId="44" fontId="4" fillId="3" borderId="2" xfId="1" applyFont="1" applyFill="1" applyBorder="1"/>
    <xf numFmtId="0" fontId="5" fillId="2" borderId="6" xfId="0" applyFont="1" applyFill="1" applyBorder="1"/>
    <xf numFmtId="0" fontId="8" fillId="0" borderId="0" xfId="0" applyFont="1"/>
    <xf numFmtId="44" fontId="7" fillId="3" borderId="2" xfId="1" applyFont="1" applyFill="1" applyBorder="1"/>
    <xf numFmtId="9" fontId="3" fillId="4" borderId="1" xfId="2" applyFont="1" applyFill="1" applyBorder="1"/>
    <xf numFmtId="0" fontId="3" fillId="4" borderId="1" xfId="1" applyNumberFormat="1" applyFont="1" applyFill="1" applyBorder="1"/>
    <xf numFmtId="44" fontId="4" fillId="4" borderId="1" xfId="1" applyFont="1" applyFill="1" applyBorder="1"/>
    <xf numFmtId="44" fontId="3" fillId="4" borderId="1" xfId="1" applyFont="1" applyFill="1" applyBorder="1"/>
    <xf numFmtId="44" fontId="3" fillId="3" borderId="3" xfId="0" applyNumberFormat="1" applyFont="1" applyFill="1" applyBorder="1"/>
    <xf numFmtId="44" fontId="4" fillId="4" borderId="2" xfId="1" applyFont="1" applyFill="1" applyBorder="1"/>
    <xf numFmtId="44" fontId="4" fillId="4" borderId="7" xfId="1" applyFont="1" applyFill="1" applyBorder="1"/>
    <xf numFmtId="0" fontId="5" fillId="2" borderId="9" xfId="0" applyFont="1" applyFill="1" applyBorder="1"/>
    <xf numFmtId="0" fontId="5" fillId="2" borderId="10" xfId="0" applyFont="1" applyFill="1" applyBorder="1"/>
    <xf numFmtId="0" fontId="5" fillId="2" borderId="11" xfId="0" applyFont="1" applyFill="1" applyBorder="1"/>
    <xf numFmtId="44" fontId="4" fillId="4" borderId="12" xfId="1" applyFont="1" applyFill="1" applyBorder="1"/>
    <xf numFmtId="0" fontId="5" fillId="2" borderId="13" xfId="0" applyFont="1" applyFill="1" applyBorder="1"/>
    <xf numFmtId="44" fontId="4" fillId="4" borderId="14" xfId="1" applyFont="1" applyFill="1" applyBorder="1"/>
    <xf numFmtId="0" fontId="5" fillId="2" borderId="15" xfId="0" applyFont="1" applyFill="1" applyBorder="1"/>
    <xf numFmtId="44" fontId="3" fillId="3" borderId="16" xfId="1" applyFont="1" applyFill="1" applyBorder="1"/>
    <xf numFmtId="44" fontId="3" fillId="3" borderId="12" xfId="1" applyFont="1" applyFill="1" applyBorder="1"/>
    <xf numFmtId="9" fontId="3" fillId="4" borderId="12" xfId="2" applyFont="1" applyFill="1" applyBorder="1"/>
    <xf numFmtId="0" fontId="3" fillId="4" borderId="12" xfId="1" applyNumberFormat="1" applyFont="1" applyFill="1" applyBorder="1"/>
    <xf numFmtId="44" fontId="3" fillId="4" borderId="12" xfId="1" applyFont="1" applyFill="1" applyBorder="1"/>
    <xf numFmtId="44" fontId="3" fillId="3" borderId="7" xfId="1" applyFont="1" applyFill="1" applyBorder="1"/>
    <xf numFmtId="44" fontId="3" fillId="3" borderId="14" xfId="1" applyFont="1" applyFill="1" applyBorder="1"/>
    <xf numFmtId="9" fontId="3" fillId="3" borderId="2" xfId="2" applyFont="1" applyFill="1" applyBorder="1"/>
    <xf numFmtId="9" fontId="3" fillId="3" borderId="16" xfId="2" applyFont="1" applyFill="1" applyBorder="1"/>
    <xf numFmtId="44" fontId="4" fillId="3" borderId="7" xfId="1" applyFont="1" applyFill="1" applyBorder="1"/>
    <xf numFmtId="44" fontId="4" fillId="3" borderId="14" xfId="1" applyFont="1" applyFill="1" applyBorder="1"/>
    <xf numFmtId="44" fontId="4" fillId="4" borderId="16" xfId="1" applyFont="1" applyFill="1" applyBorder="1"/>
    <xf numFmtId="44" fontId="4" fillId="3" borderId="8" xfId="1" applyFont="1" applyFill="1" applyBorder="1" applyAlignment="1">
      <alignment horizontal="left"/>
    </xf>
    <xf numFmtId="0" fontId="9" fillId="0" borderId="0" xfId="0" applyFont="1"/>
    <xf numFmtId="0" fontId="6" fillId="0" borderId="0" xfId="0" applyFont="1" applyAlignment="1">
      <alignment vertical="center"/>
    </xf>
    <xf numFmtId="0" fontId="3" fillId="0" borderId="0" xfId="0" applyFont="1" applyAlignment="1">
      <alignment vertical="center"/>
    </xf>
    <xf numFmtId="0" fontId="3" fillId="0" borderId="0" xfId="0" applyFont="1" applyAlignment="1">
      <alignment wrapText="1"/>
    </xf>
    <xf numFmtId="0" fontId="3" fillId="4" borderId="0" xfId="0" applyFont="1" applyFill="1"/>
    <xf numFmtId="0" fontId="5" fillId="4" borderId="0" xfId="0" applyFont="1" applyFill="1"/>
    <xf numFmtId="44" fontId="4" fillId="4" borderId="0" xfId="1" applyFont="1" applyFill="1" applyBorder="1"/>
    <xf numFmtId="0" fontId="4" fillId="0" borderId="0" xfId="0" applyFont="1"/>
    <xf numFmtId="0" fontId="5" fillId="2" borderId="7" xfId="0" applyFont="1" applyFill="1" applyBorder="1"/>
    <xf numFmtId="0" fontId="13" fillId="3" borderId="1" xfId="0" applyFont="1" applyFill="1" applyBorder="1"/>
    <xf numFmtId="44" fontId="12" fillId="3" borderId="3" xfId="1" applyFont="1" applyFill="1" applyBorder="1"/>
    <xf numFmtId="0" fontId="5" fillId="2" borderId="1" xfId="0" applyFont="1" applyFill="1" applyBorder="1" applyAlignment="1">
      <alignment wrapText="1"/>
    </xf>
    <xf numFmtId="0" fontId="8" fillId="0" borderId="0" xfId="0" applyFont="1" applyAlignment="1">
      <alignment vertical="center"/>
    </xf>
    <xf numFmtId="0" fontId="11" fillId="0" borderId="17" xfId="0" applyFont="1" applyBorder="1" applyProtection="1">
      <protection locked="0"/>
    </xf>
    <xf numFmtId="1" fontId="11" fillId="0" borderId="17" xfId="0" applyNumberFormat="1" applyFont="1" applyBorder="1" applyProtection="1">
      <protection locked="0"/>
    </xf>
    <xf numFmtId="44" fontId="11" fillId="0" borderId="17" xfId="0" applyNumberFormat="1" applyFont="1" applyBorder="1" applyProtection="1">
      <protection locked="0"/>
    </xf>
    <xf numFmtId="0" fontId="3" fillId="0" borderId="0" xfId="0" applyFont="1" applyProtection="1">
      <protection locked="0"/>
    </xf>
    <xf numFmtId="1" fontId="3" fillId="0" borderId="0" xfId="0" applyNumberFormat="1" applyFont="1" applyProtection="1">
      <protection locked="0"/>
    </xf>
    <xf numFmtId="44" fontId="3" fillId="0" borderId="0" xfId="1" applyFont="1" applyProtection="1">
      <protection locked="0"/>
    </xf>
    <xf numFmtId="0" fontId="3" fillId="3" borderId="1" xfId="0" applyFont="1" applyFill="1" applyBorder="1" applyAlignment="1">
      <alignment wrapText="1"/>
    </xf>
    <xf numFmtId="44" fontId="3" fillId="0" borderId="1" xfId="1" applyFont="1" applyFill="1" applyBorder="1" applyProtection="1">
      <protection locked="0"/>
    </xf>
    <xf numFmtId="0" fontId="3" fillId="0" borderId="1" xfId="0" applyFont="1" applyBorder="1" applyAlignment="1" applyProtection="1">
      <alignment wrapText="1"/>
      <protection locked="0"/>
    </xf>
    <xf numFmtId="44" fontId="3" fillId="0" borderId="3" xfId="1" applyFont="1" applyFill="1" applyBorder="1" applyProtection="1">
      <protection locked="0"/>
    </xf>
    <xf numFmtId="0" fontId="12" fillId="4" borderId="1" xfId="0" applyFont="1" applyFill="1" applyBorder="1" applyProtection="1">
      <protection locked="0"/>
    </xf>
    <xf numFmtId="44" fontId="3" fillId="0" borderId="7" xfId="1" applyFont="1" applyFill="1" applyBorder="1" applyProtection="1">
      <protection locked="0"/>
    </xf>
    <xf numFmtId="0" fontId="3" fillId="0" borderId="17" xfId="0" applyFont="1" applyBorder="1" applyProtection="1">
      <protection locked="0"/>
    </xf>
    <xf numFmtId="1" fontId="3" fillId="0" borderId="17" xfId="0" applyNumberFormat="1" applyFont="1" applyBorder="1" applyProtection="1">
      <protection locked="0"/>
    </xf>
    <xf numFmtId="1" fontId="3" fillId="0" borderId="0" xfId="1" applyNumberFormat="1" applyFont="1" applyProtection="1">
      <protection locked="0"/>
    </xf>
    <xf numFmtId="44" fontId="11" fillId="5" borderId="19" xfId="1" applyFont="1" applyFill="1" applyBorder="1" applyProtection="1"/>
    <xf numFmtId="9" fontId="3" fillId="3" borderId="1" xfId="2" applyFont="1" applyFill="1" applyBorder="1"/>
    <xf numFmtId="44" fontId="11" fillId="0" borderId="17" xfId="1" applyFont="1" applyFill="1" applyBorder="1" applyProtection="1">
      <protection locked="0"/>
    </xf>
    <xf numFmtId="1" fontId="3" fillId="3" borderId="6" xfId="0" applyNumberFormat="1" applyFont="1" applyFill="1" applyBorder="1"/>
    <xf numFmtId="44" fontId="3" fillId="3" borderId="6" xfId="0" applyNumberFormat="1" applyFont="1" applyFill="1" applyBorder="1"/>
    <xf numFmtId="9" fontId="3" fillId="3" borderId="0" xfId="0" applyNumberFormat="1" applyFont="1" applyFill="1"/>
    <xf numFmtId="10" fontId="7" fillId="0" borderId="0" xfId="2" applyNumberFormat="1" applyFont="1" applyAlignment="1">
      <alignment horizontal="left"/>
    </xf>
    <xf numFmtId="0" fontId="7" fillId="0" borderId="0" xfId="0" applyFont="1"/>
    <xf numFmtId="0" fontId="9" fillId="0" borderId="0" xfId="0" applyFont="1" applyAlignment="1">
      <alignment wrapText="1"/>
    </xf>
    <xf numFmtId="0" fontId="14" fillId="0" borderId="0" xfId="0" applyFont="1" applyAlignment="1">
      <alignment wrapText="1"/>
    </xf>
    <xf numFmtId="0" fontId="7" fillId="0" borderId="0" xfId="0" applyFont="1" applyAlignment="1">
      <alignment wrapText="1"/>
    </xf>
    <xf numFmtId="0" fontId="11" fillId="0" borderId="0" xfId="0" applyFont="1" applyAlignment="1">
      <alignment wrapText="1"/>
    </xf>
    <xf numFmtId="0" fontId="4" fillId="0" borderId="0" xfId="0" applyFont="1" applyAlignment="1">
      <alignment wrapText="1"/>
    </xf>
    <xf numFmtId="0" fontId="18" fillId="0" borderId="0" xfId="0" applyFont="1" applyAlignment="1">
      <alignment wrapText="1"/>
    </xf>
    <xf numFmtId="0" fontId="6" fillId="0" borderId="0" xfId="0" applyFont="1" applyAlignment="1">
      <alignment wrapText="1"/>
    </xf>
    <xf numFmtId="0" fontId="10" fillId="4" borderId="0" xfId="0" applyFont="1" applyFill="1" applyAlignment="1">
      <alignment wrapText="1"/>
    </xf>
    <xf numFmtId="0" fontId="10" fillId="3" borderId="4" xfId="0" applyFont="1" applyFill="1" applyBorder="1" applyAlignment="1">
      <alignment horizontal="left"/>
    </xf>
    <xf numFmtId="0" fontId="10" fillId="3" borderId="5" xfId="0" applyFont="1" applyFill="1" applyBorder="1" applyAlignment="1">
      <alignment horizontal="left"/>
    </xf>
    <xf numFmtId="0" fontId="10" fillId="3" borderId="1" xfId="0" applyFont="1" applyFill="1" applyBorder="1" applyAlignment="1">
      <alignment horizontal="left"/>
    </xf>
    <xf numFmtId="0" fontId="6" fillId="0" borderId="18" xfId="0" applyFont="1" applyBorder="1" applyAlignment="1">
      <alignment horizontal="left" vertical="center" wrapText="1"/>
    </xf>
    <xf numFmtId="0" fontId="7" fillId="0" borderId="0" xfId="0" applyFont="1"/>
    <xf numFmtId="0" fontId="6" fillId="3" borderId="4" xfId="0" applyFont="1" applyFill="1" applyBorder="1" applyAlignment="1">
      <alignment horizontal="left"/>
    </xf>
    <xf numFmtId="0" fontId="6" fillId="3" borderId="5" xfId="0" applyFont="1" applyFill="1" applyBorder="1" applyAlignment="1">
      <alignment horizontal="left"/>
    </xf>
    <xf numFmtId="0" fontId="6" fillId="0" borderId="0" xfId="0" applyFont="1" applyAlignment="1">
      <alignment horizontal="left" vertical="center" wrapText="1"/>
    </xf>
  </cellXfs>
  <cellStyles count="3">
    <cellStyle name="Currency" xfId="1" builtinId="4"/>
    <cellStyle name="Normal" xfId="0" builtinId="0"/>
    <cellStyle name="Percent" xfId="2" builtinId="5"/>
  </cellStyles>
  <dxfs count="37">
    <dxf>
      <font>
        <color auto="1"/>
      </font>
    </dxf>
    <dxf>
      <font>
        <b/>
        <i val="0"/>
        <color auto="1"/>
      </font>
    </dxf>
    <dxf>
      <font>
        <b val="0"/>
        <i val="0"/>
        <strike val="0"/>
        <condense val="0"/>
        <extend val="0"/>
        <outline val="0"/>
        <shadow val="0"/>
        <u val="none"/>
        <vertAlign val="baseline"/>
        <sz val="11"/>
        <color theme="1"/>
        <name val="Tenorite"/>
        <scheme val="none"/>
      </font>
      <numFmt numFmtId="34" formatCode="_(&quot;$&quot;* #,##0.00_);_(&quot;$&quot;* \(#,##0.00\);_(&quot;$&quot;* &quot;-&quot;??_);_(@_)"/>
      <fill>
        <patternFill patternType="solid">
          <fgColor indexed="64"/>
          <bgColor theme="4" tint="0.79998168889431442"/>
        </patternFill>
      </fill>
    </dxf>
    <dxf>
      <font>
        <b val="0"/>
        <i val="0"/>
        <strike val="0"/>
        <condense val="0"/>
        <extend val="0"/>
        <outline val="0"/>
        <shadow val="0"/>
        <u val="none"/>
        <vertAlign val="baseline"/>
        <sz val="11"/>
        <color theme="1"/>
        <name val="Tenorite"/>
        <scheme val="none"/>
      </font>
    </dxf>
    <dxf>
      <font>
        <b val="0"/>
        <i val="0"/>
        <strike val="0"/>
        <condense val="0"/>
        <extend val="0"/>
        <outline val="0"/>
        <shadow val="0"/>
        <u val="none"/>
        <vertAlign val="baseline"/>
        <sz val="11"/>
        <color theme="1"/>
        <name val="Tenorite"/>
        <scheme val="none"/>
      </font>
      <fill>
        <patternFill patternType="solid">
          <fgColor indexed="64"/>
          <bgColor theme="4" tint="0.79998168889431442"/>
        </patternFill>
      </fill>
    </dxf>
    <dxf>
      <font>
        <b val="0"/>
        <i val="0"/>
        <strike val="0"/>
        <condense val="0"/>
        <extend val="0"/>
        <outline val="0"/>
        <shadow val="0"/>
        <u val="none"/>
        <vertAlign val="baseline"/>
        <sz val="11"/>
        <color theme="1"/>
        <name val="Tenorite"/>
        <scheme val="none"/>
      </font>
      <fill>
        <patternFill patternType="solid">
          <fgColor indexed="64"/>
          <bgColor theme="4" tint="0.79998168889431442"/>
        </patternFill>
      </fill>
    </dxf>
    <dxf>
      <font>
        <b val="0"/>
        <i val="0"/>
        <strike val="0"/>
        <condense val="0"/>
        <extend val="0"/>
        <outline val="0"/>
        <shadow val="0"/>
        <u val="none"/>
        <vertAlign val="baseline"/>
        <sz val="11"/>
        <color theme="1"/>
        <name val="Tenorite"/>
        <scheme val="none"/>
      </font>
      <fill>
        <patternFill patternType="solid">
          <fgColor indexed="64"/>
          <bgColor theme="4" tint="0.79998168889431442"/>
        </patternFill>
      </fill>
    </dxf>
    <dxf>
      <font>
        <b val="0"/>
        <i val="0"/>
        <strike val="0"/>
        <condense val="0"/>
        <extend val="0"/>
        <outline val="0"/>
        <shadow val="0"/>
        <u val="none"/>
        <vertAlign val="baseline"/>
        <sz val="11"/>
        <color theme="1"/>
        <name val="Tenorite"/>
        <scheme val="none"/>
      </font>
      <fill>
        <patternFill patternType="solid">
          <fgColor indexed="64"/>
          <bgColor theme="4" tint="0.79998168889431442"/>
        </patternFill>
      </fill>
    </dxf>
    <dxf>
      <font>
        <b val="0"/>
        <i val="0"/>
        <strike val="0"/>
        <condense val="0"/>
        <extend val="0"/>
        <outline val="0"/>
        <shadow val="0"/>
        <u val="none"/>
        <vertAlign val="baseline"/>
        <sz val="11"/>
        <color theme="1"/>
        <name val="Tenorite"/>
        <scheme val="none"/>
      </font>
      <fill>
        <patternFill patternType="solid">
          <fgColor indexed="64"/>
          <bgColor theme="4" tint="0.79998168889431442"/>
        </patternFill>
      </fill>
    </dxf>
    <dxf>
      <font>
        <b val="0"/>
        <i val="0"/>
        <strike val="0"/>
        <condense val="0"/>
        <extend val="0"/>
        <outline val="0"/>
        <shadow val="0"/>
        <u val="none"/>
        <vertAlign val="baseline"/>
        <sz val="11"/>
        <color theme="1"/>
        <name val="Tenorite"/>
        <scheme val="none"/>
      </font>
      <fill>
        <patternFill patternType="solid">
          <fgColor indexed="64"/>
          <bgColor theme="4" tint="0.79998168889431442"/>
        </patternFill>
      </fill>
    </dxf>
    <dxf>
      <font>
        <b val="0"/>
        <i val="0"/>
        <strike val="0"/>
        <condense val="0"/>
        <extend val="0"/>
        <outline val="0"/>
        <shadow val="0"/>
        <u val="none"/>
        <vertAlign val="baseline"/>
        <sz val="11"/>
        <color theme="1"/>
        <name val="Tenorite"/>
        <scheme val="none"/>
      </font>
    </dxf>
    <dxf>
      <font>
        <b val="0"/>
        <i val="0"/>
        <strike val="0"/>
        <condense val="0"/>
        <extend val="0"/>
        <outline val="0"/>
        <shadow val="0"/>
        <u val="none"/>
        <vertAlign val="baseline"/>
        <sz val="11"/>
        <color theme="1"/>
        <name val="Tenorite"/>
        <scheme val="none"/>
      </font>
      <fill>
        <patternFill patternType="solid">
          <fgColor indexed="64"/>
          <bgColor theme="4"/>
        </patternFill>
      </fill>
    </dxf>
    <dxf>
      <font>
        <b val="0"/>
        <i val="0"/>
        <strike val="0"/>
        <condense val="0"/>
        <extend val="0"/>
        <outline val="0"/>
        <shadow val="0"/>
        <u val="none"/>
        <vertAlign val="baseline"/>
        <sz val="11"/>
        <color theme="1"/>
        <name val="Tenorite"/>
        <scheme val="none"/>
      </font>
      <numFmt numFmtId="34" formatCode="_(&quot;$&quot;* #,##0.00_);_(&quot;$&quot;* \(#,##0.00\);_(&quot;$&quot;* &quot;-&quot;??_);_(@_)"/>
      <fill>
        <patternFill patternType="solid">
          <fgColor indexed="64"/>
          <bgColor theme="4" tint="0.79998168889431442"/>
        </patternFill>
      </fill>
    </dxf>
    <dxf>
      <font>
        <strike val="0"/>
        <outline val="0"/>
        <shadow val="0"/>
        <vertAlign val="baseline"/>
        <name val="Tenorite"/>
        <scheme val="none"/>
      </font>
      <protection locked="0" hidden="0"/>
    </dxf>
    <dxf>
      <font>
        <b val="0"/>
        <i val="0"/>
        <strike val="0"/>
        <condense val="0"/>
        <extend val="0"/>
        <outline val="0"/>
        <shadow val="0"/>
        <u val="none"/>
        <vertAlign val="baseline"/>
        <sz val="11"/>
        <color theme="1"/>
        <name val="Tenorite"/>
        <scheme val="none"/>
      </font>
      <numFmt numFmtId="34" formatCode="_(&quot;$&quot;* #,##0.00_);_(&quot;$&quot;* \(#,##0.00\);_(&quot;$&quot;* &quot;-&quot;??_);_(@_)"/>
      <fill>
        <patternFill patternType="solid">
          <fgColor indexed="64"/>
          <bgColor theme="4" tint="0.7999816888943144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Tenorite"/>
        <scheme val="none"/>
      </font>
      <numFmt numFmtId="34" formatCode="_(&quot;$&quot;* #,##0.00_);_(&quot;$&quot;* \(#,##0.00\);_(&quot;$&quot;* &quot;-&quot;??_);_(@_)"/>
      <fill>
        <patternFill patternType="solid">
          <fgColor rgb="FF000000"/>
          <bgColor rgb="FFDAE0EF"/>
        </patternFill>
      </fill>
      <border diagonalUp="0" diagonalDown="0">
        <left/>
        <right/>
        <top style="thin">
          <color rgb="FF000000"/>
        </top>
        <bottom/>
      </border>
      <protection locked="1" hidden="0"/>
    </dxf>
    <dxf>
      <font>
        <b val="0"/>
        <i val="0"/>
        <strike val="0"/>
        <condense val="0"/>
        <extend val="0"/>
        <outline val="0"/>
        <shadow val="0"/>
        <u val="none"/>
        <vertAlign val="baseline"/>
        <sz val="11"/>
        <color theme="1"/>
        <name val="Tenorite"/>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Tenorite"/>
        <scheme val="none"/>
      </font>
      <numFmt numFmtId="34" formatCode="_(&quot;$&quot;* #,##0.00_);_(&quot;$&quot;* \(#,##0.00\);_(&quot;$&quot;* &quot;-&quot;??_);_(@_)"/>
      <fill>
        <patternFill patternType="none">
          <fgColor indexed="64"/>
          <bgColor auto="1"/>
        </patternFill>
      </fill>
      <border diagonalUp="0" diagonalDown="0">
        <left style="thin">
          <color rgb="FF000000"/>
        </left>
        <right/>
        <top style="thin">
          <color rgb="FF000000"/>
        </top>
        <bottom/>
      </border>
      <protection locked="0" hidden="0"/>
    </dxf>
    <dxf>
      <font>
        <b val="0"/>
        <i val="0"/>
        <strike val="0"/>
        <condense val="0"/>
        <extend val="0"/>
        <outline val="0"/>
        <shadow val="0"/>
        <u val="none"/>
        <vertAlign val="baseline"/>
        <sz val="11"/>
        <color theme="1"/>
        <name val="Tenorite"/>
        <scheme val="none"/>
      </font>
      <numFmt numFmtId="1" formatCode="0"/>
      <fill>
        <patternFill patternType="solid">
          <fgColor indexed="64"/>
          <bgColor theme="4" tint="0.7999816888943144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Tenorite"/>
        <scheme val="none"/>
      </font>
      <numFmt numFmtId="1" formatCode="0"/>
      <border>
        <right style="thin">
          <color rgb="FF000000"/>
        </right>
      </border>
      <protection locked="0" hidden="0"/>
    </dxf>
    <dxf>
      <font>
        <b val="0"/>
        <i val="0"/>
        <strike val="0"/>
        <condense val="0"/>
        <extend val="0"/>
        <outline val="0"/>
        <shadow val="0"/>
        <u val="none"/>
        <vertAlign val="baseline"/>
        <sz val="11"/>
        <color theme="1"/>
        <name val="Tenorite"/>
        <scheme val="none"/>
      </font>
      <fill>
        <patternFill patternType="solid">
          <fgColor indexed="64"/>
          <bgColor theme="4" tint="0.79998168889431442"/>
        </patternFill>
      </fill>
    </dxf>
    <dxf>
      <font>
        <b val="0"/>
        <i val="0"/>
        <strike val="0"/>
        <condense val="0"/>
        <extend val="0"/>
        <outline val="0"/>
        <shadow val="0"/>
        <u val="none"/>
        <vertAlign val="baseline"/>
        <sz val="11"/>
        <color theme="1"/>
        <name val="Tenorite"/>
        <scheme val="none"/>
      </font>
      <numFmt numFmtId="1" formatCode="0"/>
      <protection locked="0" hidden="0"/>
    </dxf>
    <dxf>
      <font>
        <b val="0"/>
        <i val="0"/>
        <strike val="0"/>
        <condense val="0"/>
        <extend val="0"/>
        <outline val="0"/>
        <shadow val="0"/>
        <u val="none"/>
        <vertAlign val="baseline"/>
        <sz val="11"/>
        <color theme="1"/>
        <name val="Tenorite"/>
        <scheme val="none"/>
      </font>
      <fill>
        <patternFill patternType="solid">
          <fgColor indexed="64"/>
          <bgColor theme="4" tint="0.79998168889431442"/>
        </patternFill>
      </fill>
    </dxf>
    <dxf>
      <font>
        <b val="0"/>
        <i val="0"/>
        <strike val="0"/>
        <condense val="0"/>
        <extend val="0"/>
        <outline val="0"/>
        <shadow val="0"/>
        <u val="none"/>
        <vertAlign val="baseline"/>
        <sz val="11"/>
        <color theme="1"/>
        <name val="Tenorite"/>
        <scheme val="none"/>
      </font>
      <protection locked="0" hidden="0"/>
    </dxf>
    <dxf>
      <font>
        <b val="0"/>
        <i val="0"/>
        <strike val="0"/>
        <condense val="0"/>
        <extend val="0"/>
        <outline val="0"/>
        <shadow val="0"/>
        <u val="none"/>
        <vertAlign val="baseline"/>
        <sz val="11"/>
        <color theme="1"/>
        <name val="Tenorite"/>
        <scheme val="none"/>
      </font>
      <numFmt numFmtId="13" formatCode="0%"/>
      <fill>
        <patternFill patternType="solid">
          <fgColor indexed="64"/>
          <bgColor theme="4" tint="0.79998168889431442"/>
        </patternFill>
      </fill>
    </dxf>
    <dxf>
      <font>
        <b val="0"/>
        <i val="0"/>
        <strike val="0"/>
        <condense val="0"/>
        <extend val="0"/>
        <outline val="0"/>
        <shadow val="0"/>
        <u val="none"/>
        <vertAlign val="baseline"/>
        <sz val="11"/>
        <color theme="1"/>
        <name val="Tenorite"/>
        <scheme val="none"/>
      </font>
      <protection locked="0" hidden="0"/>
    </dxf>
    <dxf>
      <font>
        <b val="0"/>
        <i val="0"/>
        <strike val="0"/>
        <condense val="0"/>
        <extend val="0"/>
        <outline val="0"/>
        <shadow val="0"/>
        <u val="none"/>
        <vertAlign val="baseline"/>
        <sz val="11"/>
        <color theme="1"/>
        <name val="Tenorite"/>
        <scheme val="none"/>
      </font>
      <fill>
        <patternFill patternType="solid">
          <fgColor indexed="64"/>
          <bgColor theme="4" tint="0.79998168889431442"/>
        </patternFill>
      </fill>
    </dxf>
    <dxf>
      <font>
        <b val="0"/>
        <i val="0"/>
        <strike val="0"/>
        <condense val="0"/>
        <extend val="0"/>
        <outline val="0"/>
        <shadow val="0"/>
        <u val="none"/>
        <vertAlign val="baseline"/>
        <sz val="11"/>
        <color theme="1"/>
        <name val="Tenorite"/>
        <scheme val="none"/>
      </font>
      <protection locked="0" hidden="0"/>
    </dxf>
    <dxf>
      <font>
        <strike val="0"/>
        <outline val="0"/>
        <shadow val="0"/>
        <vertAlign val="baseline"/>
        <name val="Tenorite"/>
        <scheme val="none"/>
      </font>
    </dxf>
    <dxf>
      <font>
        <b/>
        <i val="0"/>
        <strike val="0"/>
        <condense val="0"/>
        <extend val="0"/>
        <outline val="0"/>
        <shadow val="0"/>
        <u val="none"/>
        <vertAlign val="baseline"/>
        <sz val="11"/>
        <color theme="0"/>
        <name val="Tenorite"/>
        <scheme val="none"/>
      </font>
      <fill>
        <patternFill patternType="solid">
          <fgColor indexed="64"/>
          <bgColor theme="4"/>
        </patternFill>
      </fill>
    </dxf>
    <dxf>
      <font>
        <strike/>
        <color rgb="FFC00000"/>
      </font>
    </dxf>
    <dxf>
      <font>
        <strike/>
        <color rgb="FFC00000"/>
      </font>
    </dxf>
    <dxf>
      <font>
        <strike/>
        <color rgb="FFC00000"/>
      </font>
    </dxf>
    <dxf>
      <font>
        <strike/>
        <color rgb="FFC00000"/>
      </font>
    </dxf>
    <dxf>
      <font>
        <strike/>
        <color rgb="FFC00000"/>
      </font>
    </dxf>
    <dxf>
      <font>
        <strike/>
        <color rgb="FFC00000"/>
      </font>
    </dxf>
    <dxf>
      <font>
        <color rgb="FF9C0006"/>
      </font>
      <fill>
        <patternFill>
          <bgColor rgb="FFFFC7CE"/>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119</xdr:row>
      <xdr:rowOff>53340</xdr:rowOff>
    </xdr:from>
    <xdr:to>
      <xdr:col>2</xdr:col>
      <xdr:colOff>160020</xdr:colOff>
      <xdr:row>122</xdr:row>
      <xdr:rowOff>34290</xdr:rowOff>
    </xdr:to>
    <xdr:pic>
      <xdr:nvPicPr>
        <xdr:cNvPr id="17" name="Picture 10">
          <a:extLst>
            <a:ext uri="{FF2B5EF4-FFF2-40B4-BE49-F238E27FC236}">
              <a16:creationId xmlns:a16="http://schemas.microsoft.com/office/drawing/2014/main" id="{6B7A2002-5B33-2F09-D468-73ABD2763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25976580"/>
          <a:ext cx="8237220" cy="556260"/>
        </a:xfrm>
        <a:prstGeom prst="rect">
          <a:avLst/>
        </a:prstGeom>
        <a:noFill/>
        <a:ln w="19050">
          <a:solidFill>
            <a:schemeClr val="bg2"/>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121920</xdr:colOff>
      <xdr:row>7</xdr:row>
      <xdr:rowOff>7620</xdr:rowOff>
    </xdr:from>
    <xdr:to>
      <xdr:col>10</xdr:col>
      <xdr:colOff>413385</xdr:colOff>
      <xdr:row>16</xdr:row>
      <xdr:rowOff>175260</xdr:rowOff>
    </xdr:to>
    <xdr:pic>
      <xdr:nvPicPr>
        <xdr:cNvPr id="6" name="Picture 13">
          <a:extLst>
            <a:ext uri="{FF2B5EF4-FFF2-40B4-BE49-F238E27FC236}">
              <a16:creationId xmlns:a16="http://schemas.microsoft.com/office/drawing/2014/main" id="{6E991E4F-0E9A-CD9E-18AE-95EFA2F882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 y="3314700"/>
          <a:ext cx="13565505" cy="2004060"/>
        </a:xfrm>
        <a:prstGeom prst="rect">
          <a:avLst/>
        </a:prstGeom>
        <a:noFill/>
        <a:ln w="19050">
          <a:solidFill>
            <a:schemeClr val="bg2"/>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121920</xdr:colOff>
      <xdr:row>18</xdr:row>
      <xdr:rowOff>99060</xdr:rowOff>
    </xdr:from>
    <xdr:to>
      <xdr:col>0</xdr:col>
      <xdr:colOff>4379595</xdr:colOff>
      <xdr:row>22</xdr:row>
      <xdr:rowOff>19050</xdr:rowOff>
    </xdr:to>
    <xdr:pic>
      <xdr:nvPicPr>
        <xdr:cNvPr id="10" name="Picture 19">
          <a:extLst>
            <a:ext uri="{FF2B5EF4-FFF2-40B4-BE49-F238E27FC236}">
              <a16:creationId xmlns:a16="http://schemas.microsoft.com/office/drawing/2014/main" id="{60D278CF-1B57-77CE-AA16-921D5A38BB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 y="5440680"/>
          <a:ext cx="4259580" cy="1409700"/>
        </a:xfrm>
        <a:prstGeom prst="rect">
          <a:avLst/>
        </a:prstGeom>
        <a:noFill/>
        <a:ln w="19050">
          <a:solidFill>
            <a:schemeClr val="bg2"/>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24</xdr:row>
      <xdr:rowOff>104775</xdr:rowOff>
    </xdr:from>
    <xdr:to>
      <xdr:col>0</xdr:col>
      <xdr:colOff>4229100</xdr:colOff>
      <xdr:row>36</xdr:row>
      <xdr:rowOff>28575</xdr:rowOff>
    </xdr:to>
    <xdr:pic>
      <xdr:nvPicPr>
        <xdr:cNvPr id="14" name="Picture 13">
          <a:extLst>
            <a:ext uri="{FF2B5EF4-FFF2-40B4-BE49-F238E27FC236}">
              <a16:creationId xmlns:a16="http://schemas.microsoft.com/office/drawing/2014/main" id="{B9AD31A2-1386-DD59-2707-BDF5643B970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9305925"/>
          <a:ext cx="4143375" cy="2209800"/>
        </a:xfrm>
        <a:prstGeom prst="rect">
          <a:avLst/>
        </a:prstGeom>
        <a:noFill/>
        <a:ln w="19050">
          <a:solidFill>
            <a:schemeClr val="bg2"/>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100</xdr:row>
      <xdr:rowOff>66675</xdr:rowOff>
    </xdr:from>
    <xdr:to>
      <xdr:col>2</xdr:col>
      <xdr:colOff>295275</xdr:colOff>
      <xdr:row>115</xdr:row>
      <xdr:rowOff>133350</xdr:rowOff>
    </xdr:to>
    <xdr:sp macro="" textlink="">
      <xdr:nvSpPr>
        <xdr:cNvPr id="1036" name="AutoShape 12">
          <a:extLst>
            <a:ext uri="{FF2B5EF4-FFF2-40B4-BE49-F238E27FC236}">
              <a16:creationId xmlns:a16="http://schemas.microsoft.com/office/drawing/2014/main" id="{46FD78D6-7A3E-82D9-54FD-BD4D2CC09AB8}"/>
            </a:ext>
          </a:extLst>
        </xdr:cNvPr>
        <xdr:cNvSpPr>
          <a:spLocks noChangeAspect="1" noChangeArrowheads="1"/>
        </xdr:cNvSpPr>
      </xdr:nvSpPr>
      <xdr:spPr bwMode="auto">
        <a:xfrm>
          <a:off x="85725" y="25660350"/>
          <a:ext cx="8372475" cy="2924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66675</xdr:colOff>
      <xdr:row>100</xdr:row>
      <xdr:rowOff>76200</xdr:rowOff>
    </xdr:from>
    <xdr:to>
      <xdr:col>2</xdr:col>
      <xdr:colOff>276225</xdr:colOff>
      <xdr:row>115</xdr:row>
      <xdr:rowOff>142875</xdr:rowOff>
    </xdr:to>
    <xdr:pic>
      <xdr:nvPicPr>
        <xdr:cNvPr id="4" name="Picture 3">
          <a:extLst>
            <a:ext uri="{FF2B5EF4-FFF2-40B4-BE49-F238E27FC236}">
              <a16:creationId xmlns:a16="http://schemas.microsoft.com/office/drawing/2014/main" id="{69B4E5E5-9EFA-3B80-F2FC-DA7C167C30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25669875"/>
          <a:ext cx="8372475" cy="2924175"/>
        </a:xfrm>
        <a:prstGeom prst="rect">
          <a:avLst/>
        </a:prstGeom>
        <a:noFill/>
        <a:ln w="19050">
          <a:solidFill>
            <a:schemeClr val="bg2"/>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38</xdr:row>
      <xdr:rowOff>28575</xdr:rowOff>
    </xdr:from>
    <xdr:to>
      <xdr:col>2</xdr:col>
      <xdr:colOff>323850</xdr:colOff>
      <xdr:row>96</xdr:row>
      <xdr:rowOff>47625</xdr:rowOff>
    </xdr:to>
    <xdr:pic>
      <xdr:nvPicPr>
        <xdr:cNvPr id="13" name="Picture 12">
          <a:extLst>
            <a:ext uri="{FF2B5EF4-FFF2-40B4-BE49-F238E27FC236}">
              <a16:creationId xmlns:a16="http://schemas.microsoft.com/office/drawing/2014/main" id="{307E8D4A-FD18-51A6-E498-AD3A82674B1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675" y="13087350"/>
          <a:ext cx="8420100" cy="11096625"/>
        </a:xfrm>
        <a:prstGeom prst="rect">
          <a:avLst/>
        </a:prstGeom>
        <a:noFill/>
        <a:ln w="19050">
          <a:solidFill>
            <a:schemeClr val="bg2"/>
          </a:solidFill>
        </a:ln>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22D38B-9504-496D-978C-0495B93204AE}" name="construction_costs" displayName="construction_costs" ref="B10:I36" totalsRowCount="1" headerRowDxfId="29" dataDxfId="28">
  <autoFilter ref="B10:I35" xr:uid="{AB22D38B-9504-496D-978C-0495B93204AE}"/>
  <tableColumns count="8">
    <tableColumn id="1" xr3:uid="{BE382EC1-4B65-4FAA-95A4-BE66AF0F2A11}" name="Unit ID" totalsRowLabel="Total" dataDxfId="27" totalsRowDxfId="26"/>
    <tableColumn id="2" xr3:uid="{D8549C2A-A421-4530-98F0-F0FB65D1FF86}" name="National Objective (LMI/UN)" totalsRowFunction="custom" dataDxfId="25" totalsRowDxfId="24">
      <totalsRowFormula>IF(COUNTIF(C11:C35, "LMI") + COUNTIF(C11:C35, "UN") = 0, "", COUNTIF(C11:C35, "LMI") / (COUNTIF(C11:C35, "LMI") + COUNTIF(C11:C35, "UN")))</totalsRowFormula>
    </tableColumn>
    <tableColumn id="3" xr3:uid="{3C352BDB-4E9B-4822-A50C-BC5AC4563C62}" name="Number of Bedrooms" dataDxfId="23" totalsRowDxfId="22"/>
    <tableColumn id="4" xr3:uid="{947B5821-EA09-4D83-96C7-C4FA3BCBBD1F}" name="Attached/Detached" dataDxfId="21" totalsRowDxfId="20"/>
    <tableColumn id="5" xr3:uid="{B10EDFC5-4D91-4CB2-8F56-49517B2BB2CB}" name="Square Footage" totalsRowFunction="sum" dataDxfId="19" totalsRowDxfId="18" dataCellStyle="Currency"/>
    <tableColumn id="7" xr3:uid="{39B64889-B95C-4DA8-A22E-442FF8947349}" name="Cost/Sq. Foot" dataDxfId="17" totalsRowDxfId="16" dataCellStyle="Currency"/>
    <tableColumn id="6" xr3:uid="{02710C25-7093-41E0-AA01-461F9FC25C09}" name="Housing Construction Cost" totalsRowFunction="sum" dataDxfId="15" totalsRowDxfId="14" dataCellStyle="Currency">
      <calculatedColumnFormula array="1">INDIRECT("F" &amp; ROW()) * INDIRECT("G" &amp; ROW())</calculatedColumnFormula>
    </tableColumn>
    <tableColumn id="8" xr3:uid="{95ACB1EA-964F-4FFE-8EF4-5F734E26E65F}" name="Proposed Sales Price" totalsRowFunction="sum" dataDxfId="13" totalsRowDxfId="12"/>
  </tableColumns>
  <tableStyleInfo name="TableStyleLight8"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68C51E-8154-4E50-9EB5-1A9588D57FF8}" name="Table2" displayName="Table2" ref="B39:E65" totalsRowCount="1" headerRowDxfId="11" dataDxfId="10">
  <autoFilter ref="B39:E64" xr:uid="{3C68C51E-8154-4E50-9EB5-1A9588D57FF8}"/>
  <tableColumns count="4">
    <tableColumn id="1" xr3:uid="{3402588F-4C0F-4BCB-941F-EBC5D02793FB}" name="Unit ID" totalsRowLabel="Total" dataDxfId="9" totalsRowDxfId="8">
      <calculatedColumnFormula>IF(B11&lt;&gt;"", B11, "")</calculatedColumnFormula>
    </tableColumn>
    <tableColumn id="2" xr3:uid="{2B9178CF-0D23-4786-A317-9FF1FCEE1411}" name="Number of Bedrooms" dataDxfId="7" totalsRowDxfId="6">
      <calculatedColumnFormula>IF(D11&lt;&gt;"", D11, "")</calculatedColumnFormula>
    </tableColumn>
    <tableColumn id="3" xr3:uid="{E10B4671-5223-4445-8964-345DDFB9D9D2}" name="Attached/Detached" dataDxfId="5" totalsRowDxfId="4">
      <calculatedColumnFormula>IF(E11&lt;&gt;"", E11, "")</calculatedColumnFormula>
    </tableColumn>
    <tableColumn id="4" xr3:uid="{49D8914E-0D87-4DFB-8D27-0A22D015AA47}" name="Column1" totalsRowFunction="sum" dataDxfId="3" totalsRowDxfId="2"/>
  </tableColumns>
  <tableStyleInfo name="TableStyleLight8" showFirstColumn="0" showLastColumn="0" showRowStripes="1" showColumnStripes="1"/>
</table>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2B23-0ADE-4524-BC67-46E8115AC3B5}">
  <sheetPr codeName="Sheet1"/>
  <dimension ref="A1:C130"/>
  <sheetViews>
    <sheetView showGridLines="0" tabSelected="1" topLeftCell="A11" zoomScaleNormal="100" workbookViewId="0">
      <selection activeCell="E116" sqref="E116"/>
    </sheetView>
  </sheetViews>
  <sheetFormatPr defaultColWidth="8.85546875" defaultRowHeight="15" x14ac:dyDescent="0.25"/>
  <cols>
    <col min="1" max="1" width="113.5703125" style="50" customWidth="1"/>
    <col min="2" max="16384" width="8.85546875" style="1"/>
  </cols>
  <sheetData>
    <row r="1" spans="1:1" ht="20.25" x14ac:dyDescent="0.3">
      <c r="A1" s="83" t="s">
        <v>0</v>
      </c>
    </row>
    <row r="2" spans="1:1" ht="40.5" x14ac:dyDescent="0.3">
      <c r="A2" s="84" t="s">
        <v>1</v>
      </c>
    </row>
    <row r="3" spans="1:1" x14ac:dyDescent="0.25">
      <c r="A3" s="85" t="s">
        <v>2</v>
      </c>
    </row>
    <row r="4" spans="1:1" x14ac:dyDescent="0.25">
      <c r="A4" s="85"/>
    </row>
    <row r="5" spans="1:1" ht="20.25" x14ac:dyDescent="0.3">
      <c r="A5" s="83" t="s">
        <v>3</v>
      </c>
    </row>
    <row r="6" spans="1:1" ht="138.75" x14ac:dyDescent="0.25">
      <c r="A6" s="86" t="s">
        <v>4</v>
      </c>
    </row>
    <row r="7" spans="1:1" x14ac:dyDescent="0.25">
      <c r="A7" s="1"/>
    </row>
    <row r="16" spans="1:1" ht="29.45" customHeight="1" x14ac:dyDescent="0.25"/>
    <row r="17" spans="1:1" ht="29.45" customHeight="1" x14ac:dyDescent="0.25"/>
    <row r="18" spans="1:1" ht="29.45" customHeight="1" x14ac:dyDescent="0.25">
      <c r="A18" s="50" t="s">
        <v>5</v>
      </c>
    </row>
    <row r="19" spans="1:1" ht="29.45" customHeight="1" x14ac:dyDescent="0.25"/>
    <row r="20" spans="1:1" ht="29.45" customHeight="1" x14ac:dyDescent="0.25"/>
    <row r="21" spans="1:1" ht="29.45" customHeight="1" x14ac:dyDescent="0.25"/>
    <row r="22" spans="1:1" ht="29.45" customHeight="1" x14ac:dyDescent="0.25"/>
    <row r="23" spans="1:1" ht="38.450000000000003" customHeight="1" x14ac:dyDescent="0.25">
      <c r="A23" s="50" t="s">
        <v>6</v>
      </c>
    </row>
    <row r="24" spans="1:1" ht="93.75" x14ac:dyDescent="0.25">
      <c r="A24" s="87" t="s">
        <v>7</v>
      </c>
    </row>
    <row r="25" spans="1:1" x14ac:dyDescent="0.25">
      <c r="A25" s="87"/>
    </row>
    <row r="26" spans="1:1" x14ac:dyDescent="0.25">
      <c r="A26" s="87"/>
    </row>
    <row r="27" spans="1:1" x14ac:dyDescent="0.25">
      <c r="A27" s="87"/>
    </row>
    <row r="28" spans="1:1" x14ac:dyDescent="0.25">
      <c r="A28" s="87"/>
    </row>
    <row r="29" spans="1:1" x14ac:dyDescent="0.25">
      <c r="A29" s="87"/>
    </row>
    <row r="30" spans="1:1" x14ac:dyDescent="0.25">
      <c r="A30" s="87"/>
    </row>
    <row r="31" spans="1:1" x14ac:dyDescent="0.25">
      <c r="A31" s="87"/>
    </row>
    <row r="32" spans="1:1" x14ac:dyDescent="0.25">
      <c r="A32" s="87"/>
    </row>
    <row r="33" spans="1:1" x14ac:dyDescent="0.25">
      <c r="A33" s="87"/>
    </row>
    <row r="34" spans="1:1" x14ac:dyDescent="0.25">
      <c r="A34" s="87"/>
    </row>
    <row r="35" spans="1:1" x14ac:dyDescent="0.25">
      <c r="A35" s="87"/>
    </row>
    <row r="37" spans="1:1" ht="25.15" customHeight="1" x14ac:dyDescent="0.3">
      <c r="A37" s="83" t="s">
        <v>8</v>
      </c>
    </row>
    <row r="38" spans="1:1" ht="99" customHeight="1" x14ac:dyDescent="0.25">
      <c r="A38" s="50" t="s">
        <v>9</v>
      </c>
    </row>
    <row r="82" spans="1:1" ht="15.75" x14ac:dyDescent="0.25">
      <c r="A82" s="88"/>
    </row>
    <row r="83" spans="1:1" ht="15.75" x14ac:dyDescent="0.25">
      <c r="A83" s="89"/>
    </row>
    <row r="84" spans="1:1" ht="15.75" x14ac:dyDescent="0.25">
      <c r="A84" s="89"/>
    </row>
    <row r="98" spans="1:3" ht="20.25" x14ac:dyDescent="0.3">
      <c r="A98" s="83" t="s">
        <v>10</v>
      </c>
    </row>
    <row r="99" spans="1:3" x14ac:dyDescent="0.25">
      <c r="A99" s="87"/>
    </row>
    <row r="100" spans="1:3" ht="63.75" x14ac:dyDescent="0.25">
      <c r="A100" s="50" t="s">
        <v>11</v>
      </c>
    </row>
    <row r="102" spans="1:3" ht="15" customHeight="1" x14ac:dyDescent="0.3">
      <c r="A102" s="90"/>
      <c r="B102" s="90"/>
      <c r="C102" s="90"/>
    </row>
    <row r="118" spans="1:1" ht="15" customHeight="1" x14ac:dyDescent="0.25">
      <c r="A118" s="87" t="s">
        <v>12</v>
      </c>
    </row>
    <row r="119" spans="1:1" ht="15" customHeight="1" x14ac:dyDescent="0.25"/>
    <row r="120" spans="1:1" ht="15" customHeight="1" x14ac:dyDescent="0.25"/>
    <row r="121" spans="1:1" ht="15" customHeight="1" x14ac:dyDescent="0.25"/>
    <row r="122" spans="1:1" ht="15" customHeight="1" x14ac:dyDescent="0.25"/>
    <row r="123" spans="1:1" ht="15" customHeight="1" x14ac:dyDescent="0.25"/>
    <row r="124" spans="1:1" ht="46.15" customHeight="1" x14ac:dyDescent="0.25">
      <c r="A124" s="87" t="s">
        <v>13</v>
      </c>
    </row>
    <row r="125" spans="1:1" ht="15" customHeight="1" x14ac:dyDescent="0.25"/>
    <row r="126" spans="1:1" ht="15" customHeight="1" x14ac:dyDescent="0.25"/>
    <row r="127" spans="1:1" ht="15" customHeight="1" x14ac:dyDescent="0.25"/>
    <row r="128" spans="1:1" ht="15" customHeight="1" x14ac:dyDescent="0.25"/>
    <row r="130" ht="15" customHeight="1" x14ac:dyDescent="0.25"/>
  </sheetData>
  <sheetProtection algorithmName="SHA-512" hashValue="eJhc+3fTBriftwZacemVJbxUNYoKYrPZl7O5BJoTnfqCamsCm7xuNzKKxFzP0AxtTc8E3h/6lSaBiIxcpdpikw==" saltValue="gbiFRSOrU1SESts4v7zTQA=="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0A26C-00D5-4F9C-B059-09F45A6B1E2F}">
  <sheetPr codeName="Sheet2"/>
  <dimension ref="B4:I78"/>
  <sheetViews>
    <sheetView showGridLines="0" zoomScaleNormal="100" workbookViewId="0">
      <selection activeCell="B13" sqref="B13"/>
    </sheetView>
  </sheetViews>
  <sheetFormatPr defaultColWidth="9.140625" defaultRowHeight="15" x14ac:dyDescent="0.25"/>
  <cols>
    <col min="1" max="1" width="9.140625" style="1"/>
    <col min="2" max="2" width="31.7109375" style="1" customWidth="1"/>
    <col min="3" max="3" width="30.28515625" style="1" bestFit="1" customWidth="1"/>
    <col min="4" max="4" width="23.140625" style="1" customWidth="1"/>
    <col min="5" max="5" width="22.140625" style="1" bestFit="1" customWidth="1"/>
    <col min="6" max="6" width="18.140625" style="1" bestFit="1" customWidth="1"/>
    <col min="7" max="7" width="15.7109375" style="1" bestFit="1" customWidth="1"/>
    <col min="8" max="8" width="27.85546875" style="1" bestFit="1" customWidth="1"/>
    <col min="9" max="9" width="23.140625" style="1" bestFit="1" customWidth="1"/>
    <col min="10" max="10" width="10.5703125" style="1" customWidth="1"/>
    <col min="11" max="16384" width="9.140625" style="1"/>
  </cols>
  <sheetData>
    <row r="4" spans="2:9" ht="20.25" x14ac:dyDescent="0.3">
      <c r="B4" s="47" t="s">
        <v>14</v>
      </c>
    </row>
    <row r="5" spans="2:9" ht="15.75" x14ac:dyDescent="0.25">
      <c r="B5" s="48" t="s">
        <v>15</v>
      </c>
    </row>
    <row r="6" spans="2:9" ht="15.75" x14ac:dyDescent="0.25">
      <c r="B6" s="59" t="str">
        <f>IF(COUNTA(B11:B35)&lt;6, "Developments must have at least 6 units.", "")</f>
        <v>Developments must have at least 6 units.</v>
      </c>
    </row>
    <row r="7" spans="2:9" ht="15.75" x14ac:dyDescent="0.25">
      <c r="B7" s="59" t="str">
        <f>IF(C73="", "", IF(C73&lt;0.65, "LMI Percentage cannot fall below 65%", IF(C73&gt;=0.8, "The unit mix must reasonably align with the Program target of 70% LMI and 30% UN units.", "")))</f>
        <v/>
      </c>
    </row>
    <row r="8" spans="2:9" ht="15.75" x14ac:dyDescent="0.25">
      <c r="B8" s="18" t="str" cm="1">
        <f t="array" ref="B8">IF(SUMPRODUCT((D11:D35="2 Bedroom")*(F11:F35&gt;1200)) + SUMPRODUCT((D11:D35="3 Bedroom")*(F11:F35&gt;1400)) + SUMPRODUCT((D11:D35="4 Bedroom")*(F11:F35&gt;1600)) &gt; 0, "Max square footage exceeded. 2, 3 and 4 bedroom units cannot exceed 1200, 1400 or 1600 feet respectively.", "")</f>
        <v/>
      </c>
    </row>
    <row r="9" spans="2:9" ht="18.75" x14ac:dyDescent="0.3">
      <c r="B9" s="93" t="s">
        <v>16</v>
      </c>
      <c r="C9" s="93"/>
      <c r="D9" s="93"/>
      <c r="E9" s="93"/>
      <c r="F9" s="93"/>
      <c r="G9" s="93"/>
      <c r="H9" s="93"/>
      <c r="I9" s="93"/>
    </row>
    <row r="10" spans="2:9" x14ac:dyDescent="0.25">
      <c r="B10" s="2" t="s">
        <v>17</v>
      </c>
      <c r="C10" s="2" t="s">
        <v>18</v>
      </c>
      <c r="D10" s="2" t="s">
        <v>19</v>
      </c>
      <c r="E10" s="2" t="s">
        <v>20</v>
      </c>
      <c r="F10" s="2" t="s">
        <v>21</v>
      </c>
      <c r="G10" s="2" t="s">
        <v>22</v>
      </c>
      <c r="H10" s="2" t="s">
        <v>23</v>
      </c>
      <c r="I10" s="2" t="s">
        <v>24</v>
      </c>
    </row>
    <row r="11" spans="2:9" x14ac:dyDescent="0.25">
      <c r="B11" s="60"/>
      <c r="C11" s="63"/>
      <c r="D11" s="72"/>
      <c r="E11" s="73"/>
      <c r="F11" s="61"/>
      <c r="G11" s="62">
        <v>0</v>
      </c>
      <c r="H11" s="75" cm="1">
        <f t="array" aca="1" ref="H11" ca="1">INDIRECT("F" &amp; ROW()) * INDIRECT("G" &amp; ROW())</f>
        <v>0</v>
      </c>
      <c r="I11" s="65">
        <v>0</v>
      </c>
    </row>
    <row r="12" spans="2:9" x14ac:dyDescent="0.25">
      <c r="B12" s="60"/>
      <c r="C12" s="63"/>
      <c r="D12" s="72"/>
      <c r="E12" s="73"/>
      <c r="F12" s="61"/>
      <c r="G12" s="62">
        <v>0</v>
      </c>
      <c r="H12" s="75" cm="1">
        <f t="array" aca="1" ref="H12" ca="1">INDIRECT("F" &amp; ROW()) * INDIRECT("G" &amp; ROW())</f>
        <v>0</v>
      </c>
      <c r="I12" s="65">
        <v>0</v>
      </c>
    </row>
    <row r="13" spans="2:9" x14ac:dyDescent="0.25">
      <c r="B13" s="60"/>
      <c r="C13" s="63"/>
      <c r="D13" s="72"/>
      <c r="E13" s="73"/>
      <c r="F13" s="61"/>
      <c r="G13" s="62">
        <v>0</v>
      </c>
      <c r="H13" s="75" cm="1">
        <f t="array" aca="1" ref="H13" ca="1">INDIRECT("F" &amp; ROW()) * INDIRECT("G" &amp; ROW())</f>
        <v>0</v>
      </c>
      <c r="I13" s="65">
        <v>0</v>
      </c>
    </row>
    <row r="14" spans="2:9" x14ac:dyDescent="0.25">
      <c r="B14" s="60"/>
      <c r="C14" s="63"/>
      <c r="D14" s="72"/>
      <c r="E14" s="73"/>
      <c r="F14" s="61"/>
      <c r="G14" s="62">
        <v>0</v>
      </c>
      <c r="H14" s="75" cm="1">
        <f t="array" aca="1" ref="H14" ca="1">INDIRECT("F" &amp; ROW()) * INDIRECT("G" &amp; ROW())</f>
        <v>0</v>
      </c>
      <c r="I14" s="65">
        <v>0</v>
      </c>
    </row>
    <row r="15" spans="2:9" x14ac:dyDescent="0.25">
      <c r="B15" s="60"/>
      <c r="C15" s="63"/>
      <c r="D15" s="72"/>
      <c r="E15" s="73"/>
      <c r="F15" s="61"/>
      <c r="G15" s="62">
        <v>0</v>
      </c>
      <c r="H15" s="75" cm="1">
        <f t="array" aca="1" ref="H15" ca="1">INDIRECT("F" &amp; ROW()) * INDIRECT("G" &amp; ROW())</f>
        <v>0</v>
      </c>
      <c r="I15" s="65">
        <v>0</v>
      </c>
    </row>
    <row r="16" spans="2:9" x14ac:dyDescent="0.25">
      <c r="B16" s="60"/>
      <c r="C16" s="63"/>
      <c r="D16" s="72"/>
      <c r="E16" s="73"/>
      <c r="F16" s="61"/>
      <c r="G16" s="62">
        <v>0</v>
      </c>
      <c r="H16" s="75" cm="1">
        <f t="array" aca="1" ref="H16" ca="1">INDIRECT("F" &amp; ROW()) * INDIRECT("G" &amp; ROW())</f>
        <v>0</v>
      </c>
      <c r="I16" s="65">
        <v>0</v>
      </c>
    </row>
    <row r="17" spans="2:9" x14ac:dyDescent="0.25">
      <c r="B17" s="60"/>
      <c r="C17" s="63"/>
      <c r="D17" s="72"/>
      <c r="E17" s="73"/>
      <c r="F17" s="61"/>
      <c r="G17" s="62">
        <v>0</v>
      </c>
      <c r="H17" s="75" cm="1">
        <f t="array" aca="1" ref="H17" ca="1">INDIRECT("F" &amp; ROW()) * INDIRECT("G" &amp; ROW())</f>
        <v>0</v>
      </c>
      <c r="I17" s="65">
        <v>0</v>
      </c>
    </row>
    <row r="18" spans="2:9" x14ac:dyDescent="0.25">
      <c r="B18" s="60"/>
      <c r="C18" s="63"/>
      <c r="D18" s="72"/>
      <c r="E18" s="73"/>
      <c r="F18" s="61"/>
      <c r="G18" s="62">
        <v>0</v>
      </c>
      <c r="H18" s="75" cm="1">
        <f t="array" aca="1" ref="H18" ca="1">INDIRECT("F" &amp; ROW()) * INDIRECT("G" &amp; ROW())</f>
        <v>0</v>
      </c>
      <c r="I18" s="65">
        <v>0</v>
      </c>
    </row>
    <row r="19" spans="2:9" x14ac:dyDescent="0.25">
      <c r="B19" s="60"/>
      <c r="C19" s="63"/>
      <c r="D19" s="72"/>
      <c r="E19" s="73"/>
      <c r="F19" s="61"/>
      <c r="G19" s="62">
        <v>0</v>
      </c>
      <c r="H19" s="75" cm="1">
        <f t="array" aca="1" ref="H19" ca="1">INDIRECT("F" &amp; ROW()) * INDIRECT("G" &amp; ROW())</f>
        <v>0</v>
      </c>
      <c r="I19" s="65">
        <v>0</v>
      </c>
    </row>
    <row r="20" spans="2:9" x14ac:dyDescent="0.25">
      <c r="B20" s="60"/>
      <c r="C20" s="63"/>
      <c r="D20" s="72"/>
      <c r="E20" s="73"/>
      <c r="F20" s="61"/>
      <c r="G20" s="62">
        <v>0</v>
      </c>
      <c r="H20" s="75" cm="1">
        <f t="array" aca="1" ref="H20" ca="1">INDIRECT("F" &amp; ROW()) * INDIRECT("G" &amp; ROW())</f>
        <v>0</v>
      </c>
      <c r="I20" s="65">
        <v>0</v>
      </c>
    </row>
    <row r="21" spans="2:9" x14ac:dyDescent="0.25">
      <c r="B21" s="60"/>
      <c r="C21" s="63"/>
      <c r="D21" s="72"/>
      <c r="E21" s="73"/>
      <c r="F21" s="61"/>
      <c r="G21" s="62">
        <v>0</v>
      </c>
      <c r="H21" s="75" cm="1">
        <f t="array" aca="1" ref="H21" ca="1">INDIRECT("F" &amp; ROW()) * INDIRECT("G" &amp; ROW())</f>
        <v>0</v>
      </c>
      <c r="I21" s="65">
        <v>0</v>
      </c>
    </row>
    <row r="22" spans="2:9" x14ac:dyDescent="0.25">
      <c r="B22" s="60"/>
      <c r="C22" s="63"/>
      <c r="D22" s="72"/>
      <c r="E22" s="73"/>
      <c r="F22" s="61"/>
      <c r="G22" s="62">
        <v>0</v>
      </c>
      <c r="H22" s="75" cm="1">
        <f t="array" aca="1" ref="H22" ca="1">INDIRECT("F" &amp; ROW()) * INDIRECT("G" &amp; ROW())</f>
        <v>0</v>
      </c>
      <c r="I22" s="65">
        <v>0</v>
      </c>
    </row>
    <row r="23" spans="2:9" x14ac:dyDescent="0.25">
      <c r="B23" s="63"/>
      <c r="C23" s="63"/>
      <c r="D23" s="63"/>
      <c r="E23" s="64"/>
      <c r="F23" s="74"/>
      <c r="G23" s="77">
        <v>0</v>
      </c>
      <c r="H23" s="75" cm="1">
        <f t="array" aca="1" ref="H23" ca="1">INDIRECT("F" &amp; ROW()) * INDIRECT("G" &amp; ROW())</f>
        <v>0</v>
      </c>
      <c r="I23" s="65">
        <v>0</v>
      </c>
    </row>
    <row r="24" spans="2:9" x14ac:dyDescent="0.25">
      <c r="B24" s="63"/>
      <c r="C24" s="63"/>
      <c r="D24" s="63"/>
      <c r="E24" s="64"/>
      <c r="F24" s="74"/>
      <c r="G24" s="77">
        <v>0</v>
      </c>
      <c r="H24" s="75" cm="1">
        <f t="array" aca="1" ref="H24" ca="1">INDIRECT("F" &amp; ROW()) * INDIRECT("G" &amp; ROW())</f>
        <v>0</v>
      </c>
      <c r="I24" s="65">
        <v>0</v>
      </c>
    </row>
    <row r="25" spans="2:9" x14ac:dyDescent="0.25">
      <c r="B25" s="63"/>
      <c r="C25" s="63"/>
      <c r="D25" s="63"/>
      <c r="E25" s="64"/>
      <c r="F25" s="74"/>
      <c r="G25" s="77">
        <v>0</v>
      </c>
      <c r="H25" s="75" cm="1">
        <f t="array" aca="1" ref="H25" ca="1">INDIRECT("F" &amp; ROW()) * INDIRECT("G" &amp; ROW())</f>
        <v>0</v>
      </c>
      <c r="I25" s="65">
        <v>0</v>
      </c>
    </row>
    <row r="26" spans="2:9" x14ac:dyDescent="0.25">
      <c r="B26" s="63"/>
      <c r="C26" s="63"/>
      <c r="D26" s="63"/>
      <c r="E26" s="64"/>
      <c r="F26" s="74"/>
      <c r="G26" s="77">
        <v>0</v>
      </c>
      <c r="H26" s="75" cm="1">
        <f t="array" aca="1" ref="H26" ca="1">INDIRECT("F" &amp; ROW()) * INDIRECT("G" &amp; ROW())</f>
        <v>0</v>
      </c>
      <c r="I26" s="65">
        <v>0</v>
      </c>
    </row>
    <row r="27" spans="2:9" x14ac:dyDescent="0.25">
      <c r="B27" s="63"/>
      <c r="C27" s="63"/>
      <c r="D27" s="63"/>
      <c r="E27" s="64"/>
      <c r="F27" s="74"/>
      <c r="G27" s="77">
        <v>0</v>
      </c>
      <c r="H27" s="75" cm="1">
        <f t="array" aca="1" ref="H27" ca="1">INDIRECT("F" &amp; ROW()) * INDIRECT("G" &amp; ROW())</f>
        <v>0</v>
      </c>
      <c r="I27" s="65">
        <v>0</v>
      </c>
    </row>
    <row r="28" spans="2:9" x14ac:dyDescent="0.25">
      <c r="B28" s="63"/>
      <c r="C28" s="63"/>
      <c r="D28" s="63"/>
      <c r="E28" s="64"/>
      <c r="F28" s="74"/>
      <c r="G28" s="77">
        <v>0</v>
      </c>
      <c r="H28" s="75" cm="1">
        <f t="array" aca="1" ref="H28" ca="1">INDIRECT("F" &amp; ROW()) * INDIRECT("G" &amp; ROW())</f>
        <v>0</v>
      </c>
      <c r="I28" s="65">
        <v>0</v>
      </c>
    </row>
    <row r="29" spans="2:9" x14ac:dyDescent="0.25">
      <c r="B29" s="63"/>
      <c r="C29" s="63"/>
      <c r="D29" s="63"/>
      <c r="E29" s="64"/>
      <c r="F29" s="74"/>
      <c r="G29" s="77">
        <v>0</v>
      </c>
      <c r="H29" s="75" cm="1">
        <f t="array" aca="1" ref="H29" ca="1">INDIRECT("F" &amp; ROW()) * INDIRECT("G" &amp; ROW())</f>
        <v>0</v>
      </c>
      <c r="I29" s="65">
        <v>0</v>
      </c>
    </row>
    <row r="30" spans="2:9" x14ac:dyDescent="0.25">
      <c r="B30" s="63"/>
      <c r="C30" s="63"/>
      <c r="D30" s="63"/>
      <c r="E30" s="64"/>
      <c r="F30" s="74"/>
      <c r="G30" s="77">
        <v>0</v>
      </c>
      <c r="H30" s="75" cm="1">
        <f t="array" aca="1" ref="H30" ca="1">INDIRECT("F" &amp; ROW()) * INDIRECT("G" &amp; ROW())</f>
        <v>0</v>
      </c>
      <c r="I30" s="65">
        <v>0</v>
      </c>
    </row>
    <row r="31" spans="2:9" x14ac:dyDescent="0.25">
      <c r="B31" s="63"/>
      <c r="C31" s="63"/>
      <c r="D31" s="63"/>
      <c r="E31" s="64"/>
      <c r="F31" s="74"/>
      <c r="G31" s="77">
        <v>0</v>
      </c>
      <c r="H31" s="75" cm="1">
        <f t="array" aca="1" ref="H31" ca="1">INDIRECT("F" &amp; ROW()) * INDIRECT("G" &amp; ROW())</f>
        <v>0</v>
      </c>
      <c r="I31" s="65">
        <v>0</v>
      </c>
    </row>
    <row r="32" spans="2:9" x14ac:dyDescent="0.25">
      <c r="B32" s="63"/>
      <c r="C32" s="63"/>
      <c r="D32" s="63"/>
      <c r="E32" s="64"/>
      <c r="F32" s="74"/>
      <c r="G32" s="77">
        <v>0</v>
      </c>
      <c r="H32" s="75" cm="1">
        <f t="array" aca="1" ref="H32" ca="1">INDIRECT("F" &amp; ROW()) * INDIRECT("G" &amp; ROW())</f>
        <v>0</v>
      </c>
      <c r="I32" s="65">
        <v>0</v>
      </c>
    </row>
    <row r="33" spans="2:9" x14ac:dyDescent="0.25">
      <c r="B33" s="63"/>
      <c r="C33" s="63"/>
      <c r="D33" s="63"/>
      <c r="E33" s="64"/>
      <c r="F33" s="74"/>
      <c r="G33" s="77">
        <v>0</v>
      </c>
      <c r="H33" s="75" cm="1">
        <f t="array" aca="1" ref="H33" ca="1">INDIRECT("F" &amp; ROW()) * INDIRECT("G" &amp; ROW())</f>
        <v>0</v>
      </c>
      <c r="I33" s="65">
        <v>0</v>
      </c>
    </row>
    <row r="34" spans="2:9" x14ac:dyDescent="0.25">
      <c r="B34" s="63"/>
      <c r="C34" s="63"/>
      <c r="D34" s="63"/>
      <c r="E34" s="64"/>
      <c r="F34" s="74"/>
      <c r="G34" s="77">
        <v>0</v>
      </c>
      <c r="H34" s="75" cm="1">
        <f t="array" aca="1" ref="H34" ca="1">INDIRECT("F" &amp; ROW()) * INDIRECT("G" &amp; ROW())</f>
        <v>0</v>
      </c>
      <c r="I34" s="65">
        <v>0</v>
      </c>
    </row>
    <row r="35" spans="2:9" x14ac:dyDescent="0.25">
      <c r="B35" s="63"/>
      <c r="C35" s="63"/>
      <c r="D35" s="63"/>
      <c r="E35" s="64"/>
      <c r="F35" s="74"/>
      <c r="G35" s="77">
        <v>0</v>
      </c>
      <c r="H35" s="75" cm="1">
        <f t="array" aca="1" ref="H35" ca="1">INDIRECT("F" &amp; ROW()) * INDIRECT("G" &amp; ROW())</f>
        <v>0</v>
      </c>
      <c r="I35" s="65">
        <v>0</v>
      </c>
    </row>
    <row r="36" spans="2:9" x14ac:dyDescent="0.25">
      <c r="B36" s="6" t="s">
        <v>25</v>
      </c>
      <c r="C36" s="80" t="str">
        <f>IF(COUNTIF(C11:C35, "LMI") + COUNTIF(C11:C35, "UN") = 0, "", COUNTIF(C11:C35, "LMI") / (COUNTIF(C11:C35, "LMI") + COUNTIF(C11:C35, "UN")))</f>
        <v/>
      </c>
      <c r="D36" s="6"/>
      <c r="E36" s="6"/>
      <c r="F36" s="78">
        <f>SUBTOTAL(109,construction_costs[Square Footage])</f>
        <v>0</v>
      </c>
      <c r="G36" s="6"/>
      <c r="H36" s="79">
        <f ca="1">SUBTOTAL(109,construction_costs[Housing Construction Cost])</f>
        <v>0</v>
      </c>
      <c r="I36" s="8">
        <f>SUBTOTAL(109,construction_costs[Proposed Sales Price])</f>
        <v>0</v>
      </c>
    </row>
    <row r="38" spans="2:9" ht="18.75" hidden="1" x14ac:dyDescent="0.3">
      <c r="B38" s="93" t="s">
        <v>26</v>
      </c>
      <c r="C38" s="93"/>
      <c r="D38" s="93"/>
      <c r="E38" s="93"/>
    </row>
    <row r="39" spans="2:9" hidden="1" x14ac:dyDescent="0.25">
      <c r="B39" s="7" t="s">
        <v>17</v>
      </c>
      <c r="C39" s="7" t="s">
        <v>19</v>
      </c>
      <c r="D39" s="7" t="s">
        <v>20</v>
      </c>
      <c r="E39" s="7" t="s">
        <v>27</v>
      </c>
    </row>
    <row r="40" spans="2:9" hidden="1" x14ac:dyDescent="0.25">
      <c r="B40" s="6" t="str">
        <f t="shared" ref="B40:B64" si="0">IF(B11&lt;&gt;"", B11, "")</f>
        <v/>
      </c>
      <c r="C40" s="6" t="str">
        <f t="shared" ref="C40:D64" si="1">IF(D11&lt;&gt;"", D11, "")</f>
        <v/>
      </c>
      <c r="D40" s="6" t="str">
        <f t="shared" si="1"/>
        <v/>
      </c>
    </row>
    <row r="41" spans="2:9" hidden="1" x14ac:dyDescent="0.25">
      <c r="B41" s="6" t="str">
        <f t="shared" si="0"/>
        <v/>
      </c>
      <c r="C41" s="6" t="str">
        <f t="shared" si="1"/>
        <v/>
      </c>
      <c r="D41" s="6" t="str">
        <f t="shared" si="1"/>
        <v/>
      </c>
    </row>
    <row r="42" spans="2:9" hidden="1" x14ac:dyDescent="0.25">
      <c r="B42" s="6" t="str">
        <f t="shared" si="0"/>
        <v/>
      </c>
      <c r="C42" s="6" t="str">
        <f t="shared" si="1"/>
        <v/>
      </c>
      <c r="D42" s="6" t="str">
        <f t="shared" si="1"/>
        <v/>
      </c>
    </row>
    <row r="43" spans="2:9" hidden="1" x14ac:dyDescent="0.25">
      <c r="B43" s="6" t="str">
        <f t="shared" si="0"/>
        <v/>
      </c>
      <c r="C43" s="6" t="str">
        <f t="shared" si="1"/>
        <v/>
      </c>
      <c r="D43" s="6" t="str">
        <f t="shared" si="1"/>
        <v/>
      </c>
    </row>
    <row r="44" spans="2:9" hidden="1" x14ac:dyDescent="0.25">
      <c r="B44" s="6" t="str">
        <f t="shared" si="0"/>
        <v/>
      </c>
      <c r="C44" s="6" t="str">
        <f t="shared" si="1"/>
        <v/>
      </c>
      <c r="D44" s="6" t="str">
        <f t="shared" si="1"/>
        <v/>
      </c>
    </row>
    <row r="45" spans="2:9" hidden="1" x14ac:dyDescent="0.25">
      <c r="B45" s="6" t="str">
        <f t="shared" si="0"/>
        <v/>
      </c>
      <c r="C45" s="6" t="str">
        <f t="shared" si="1"/>
        <v/>
      </c>
      <c r="D45" s="6" t="str">
        <f t="shared" si="1"/>
        <v/>
      </c>
    </row>
    <row r="46" spans="2:9" hidden="1" x14ac:dyDescent="0.25">
      <c r="B46" s="6" t="str">
        <f t="shared" si="0"/>
        <v/>
      </c>
      <c r="C46" s="6" t="str">
        <f t="shared" si="1"/>
        <v/>
      </c>
      <c r="D46" s="6" t="str">
        <f t="shared" si="1"/>
        <v/>
      </c>
    </row>
    <row r="47" spans="2:9" hidden="1" x14ac:dyDescent="0.25">
      <c r="B47" s="6" t="str">
        <f t="shared" si="0"/>
        <v/>
      </c>
      <c r="C47" s="6" t="str">
        <f t="shared" si="1"/>
        <v/>
      </c>
      <c r="D47" s="6" t="str">
        <f t="shared" si="1"/>
        <v/>
      </c>
    </row>
    <row r="48" spans="2:9" hidden="1" x14ac:dyDescent="0.25">
      <c r="B48" s="6" t="str">
        <f t="shared" si="0"/>
        <v/>
      </c>
      <c r="C48" s="6" t="str">
        <f t="shared" si="1"/>
        <v/>
      </c>
      <c r="D48" s="6" t="str">
        <f t="shared" si="1"/>
        <v/>
      </c>
    </row>
    <row r="49" spans="2:4" hidden="1" x14ac:dyDescent="0.25">
      <c r="B49" s="6" t="str">
        <f t="shared" si="0"/>
        <v/>
      </c>
      <c r="C49" s="6" t="str">
        <f t="shared" si="1"/>
        <v/>
      </c>
      <c r="D49" s="6" t="str">
        <f t="shared" si="1"/>
        <v/>
      </c>
    </row>
    <row r="50" spans="2:4" hidden="1" x14ac:dyDescent="0.25">
      <c r="B50" s="6" t="str">
        <f t="shared" si="0"/>
        <v/>
      </c>
      <c r="C50" s="6" t="str">
        <f t="shared" si="1"/>
        <v/>
      </c>
      <c r="D50" s="6" t="str">
        <f t="shared" si="1"/>
        <v/>
      </c>
    </row>
    <row r="51" spans="2:4" hidden="1" x14ac:dyDescent="0.25">
      <c r="B51" s="6" t="str">
        <f t="shared" si="0"/>
        <v/>
      </c>
      <c r="C51" s="6" t="str">
        <f t="shared" si="1"/>
        <v/>
      </c>
      <c r="D51" s="6" t="str">
        <f t="shared" si="1"/>
        <v/>
      </c>
    </row>
    <row r="52" spans="2:4" hidden="1" x14ac:dyDescent="0.25">
      <c r="B52" s="6" t="str">
        <f t="shared" si="0"/>
        <v/>
      </c>
      <c r="C52" s="6" t="str">
        <f t="shared" si="1"/>
        <v/>
      </c>
      <c r="D52" s="6" t="str">
        <f t="shared" si="1"/>
        <v/>
      </c>
    </row>
    <row r="53" spans="2:4" hidden="1" x14ac:dyDescent="0.25">
      <c r="B53" s="6" t="str">
        <f t="shared" si="0"/>
        <v/>
      </c>
      <c r="C53" s="6" t="str">
        <f t="shared" si="1"/>
        <v/>
      </c>
      <c r="D53" s="6" t="str">
        <f t="shared" si="1"/>
        <v/>
      </c>
    </row>
    <row r="54" spans="2:4" hidden="1" x14ac:dyDescent="0.25">
      <c r="B54" s="6" t="str">
        <f t="shared" si="0"/>
        <v/>
      </c>
      <c r="C54" s="6" t="str">
        <f t="shared" si="1"/>
        <v/>
      </c>
      <c r="D54" s="6" t="str">
        <f t="shared" si="1"/>
        <v/>
      </c>
    </row>
    <row r="55" spans="2:4" hidden="1" x14ac:dyDescent="0.25">
      <c r="B55" s="6" t="str">
        <f t="shared" si="0"/>
        <v/>
      </c>
      <c r="C55" s="6" t="str">
        <f t="shared" si="1"/>
        <v/>
      </c>
      <c r="D55" s="6" t="str">
        <f t="shared" si="1"/>
        <v/>
      </c>
    </row>
    <row r="56" spans="2:4" hidden="1" x14ac:dyDescent="0.25">
      <c r="B56" s="6" t="str">
        <f t="shared" si="0"/>
        <v/>
      </c>
      <c r="C56" s="6" t="str">
        <f t="shared" si="1"/>
        <v/>
      </c>
      <c r="D56" s="6" t="str">
        <f t="shared" si="1"/>
        <v/>
      </c>
    </row>
    <row r="57" spans="2:4" hidden="1" x14ac:dyDescent="0.25">
      <c r="B57" s="6" t="str">
        <f t="shared" si="0"/>
        <v/>
      </c>
      <c r="C57" s="6" t="str">
        <f t="shared" si="1"/>
        <v/>
      </c>
      <c r="D57" s="6" t="str">
        <f t="shared" si="1"/>
        <v/>
      </c>
    </row>
    <row r="58" spans="2:4" hidden="1" x14ac:dyDescent="0.25">
      <c r="B58" s="6" t="str">
        <f t="shared" si="0"/>
        <v/>
      </c>
      <c r="C58" s="6" t="str">
        <f t="shared" si="1"/>
        <v/>
      </c>
      <c r="D58" s="6" t="str">
        <f t="shared" si="1"/>
        <v/>
      </c>
    </row>
    <row r="59" spans="2:4" hidden="1" x14ac:dyDescent="0.25">
      <c r="B59" s="6" t="str">
        <f t="shared" si="0"/>
        <v/>
      </c>
      <c r="C59" s="6" t="str">
        <f t="shared" si="1"/>
        <v/>
      </c>
      <c r="D59" s="6" t="str">
        <f t="shared" si="1"/>
        <v/>
      </c>
    </row>
    <row r="60" spans="2:4" hidden="1" x14ac:dyDescent="0.25">
      <c r="B60" s="6" t="str">
        <f t="shared" si="0"/>
        <v/>
      </c>
      <c r="C60" s="6" t="str">
        <f t="shared" si="1"/>
        <v/>
      </c>
      <c r="D60" s="6" t="str">
        <f t="shared" si="1"/>
        <v/>
      </c>
    </row>
    <row r="61" spans="2:4" hidden="1" x14ac:dyDescent="0.25">
      <c r="B61" s="6" t="str">
        <f t="shared" si="0"/>
        <v/>
      </c>
      <c r="C61" s="6" t="str">
        <f t="shared" si="1"/>
        <v/>
      </c>
      <c r="D61" s="6" t="str">
        <f t="shared" si="1"/>
        <v/>
      </c>
    </row>
    <row r="62" spans="2:4" hidden="1" x14ac:dyDescent="0.25">
      <c r="B62" s="6" t="str">
        <f t="shared" si="0"/>
        <v/>
      </c>
      <c r="C62" s="6" t="str">
        <f t="shared" si="1"/>
        <v/>
      </c>
      <c r="D62" s="6" t="str">
        <f t="shared" si="1"/>
        <v/>
      </c>
    </row>
    <row r="63" spans="2:4" hidden="1" x14ac:dyDescent="0.25">
      <c r="B63" s="6" t="str">
        <f t="shared" si="0"/>
        <v/>
      </c>
      <c r="C63" s="6" t="str">
        <f t="shared" si="1"/>
        <v/>
      </c>
      <c r="D63" s="6" t="str">
        <f t="shared" si="1"/>
        <v/>
      </c>
    </row>
    <row r="64" spans="2:4" hidden="1" x14ac:dyDescent="0.25">
      <c r="B64" s="6" t="str">
        <f t="shared" si="0"/>
        <v/>
      </c>
      <c r="C64" s="6" t="str">
        <f t="shared" si="1"/>
        <v/>
      </c>
      <c r="D64" s="6" t="str">
        <f t="shared" si="1"/>
        <v/>
      </c>
    </row>
    <row r="65" spans="2:5" hidden="1" x14ac:dyDescent="0.25">
      <c r="B65" s="6" t="s">
        <v>25</v>
      </c>
      <c r="C65" s="6"/>
      <c r="D65" s="6"/>
      <c r="E65" s="8">
        <f>SUBTOTAL(109,Table2[Column1])</f>
        <v>0</v>
      </c>
    </row>
    <row r="66" spans="2:5" hidden="1" x14ac:dyDescent="0.25">
      <c r="B66" s="1" t="e">
        <f>IF(#REF!&lt;&gt;"",#REF!, "")</f>
        <v>#REF!</v>
      </c>
      <c r="C66" s="1" t="e">
        <f>IF(#REF!&lt;&gt;"",#REF!, "")</f>
        <v>#REF!</v>
      </c>
      <c r="D66" s="1" t="e">
        <f>IF(#REF!&lt;&gt;"",#REF!, "")</f>
        <v>#REF!</v>
      </c>
    </row>
    <row r="67" spans="2:5" hidden="1" x14ac:dyDescent="0.25">
      <c r="B67" s="1" t="e">
        <f>IF(#REF!&lt;&gt;"",#REF!, "")</f>
        <v>#REF!</v>
      </c>
      <c r="C67" s="1" t="e">
        <f>IF(#REF!&lt;&gt;"",#REF!, "")</f>
        <v>#REF!</v>
      </c>
      <c r="D67" s="1" t="e">
        <f>IF(#REF!&lt;&gt;"",#REF!, "")</f>
        <v>#REF!</v>
      </c>
    </row>
    <row r="68" spans="2:5" ht="18.75" x14ac:dyDescent="0.3">
      <c r="B68" s="91" t="s">
        <v>28</v>
      </c>
      <c r="C68" s="92"/>
    </row>
    <row r="69" spans="2:5" x14ac:dyDescent="0.25">
      <c r="B69" s="4" t="s">
        <v>29</v>
      </c>
      <c r="C69" s="5">
        <f>COUNTA(construction_costs[Unit ID])</f>
        <v>0</v>
      </c>
      <c r="D69" s="82" t="str">
        <f>IF(COUNTA(B11:B35)&lt;6, "Developments must have at least 6 units.", "")</f>
        <v>Developments must have at least 6 units.</v>
      </c>
    </row>
    <row r="70" spans="2:5" x14ac:dyDescent="0.25">
      <c r="B70" s="4" t="s">
        <v>30</v>
      </c>
      <c r="C70" s="9">
        <f>construction_costs[[#Totals],[Square Footage]]</f>
        <v>0</v>
      </c>
    </row>
    <row r="71" spans="2:5" x14ac:dyDescent="0.25">
      <c r="B71" s="4" t="s">
        <v>31</v>
      </c>
      <c r="C71" s="10">
        <f ca="1">construction_costs[[#Totals],[Housing Construction Cost]]</f>
        <v>0</v>
      </c>
    </row>
    <row r="72" spans="2:5" x14ac:dyDescent="0.25">
      <c r="B72" s="4" t="s">
        <v>24</v>
      </c>
      <c r="C72" s="10">
        <f>construction_costs[[#Totals],[Proposed Sales Price]]</f>
        <v>0</v>
      </c>
    </row>
    <row r="73" spans="2:5" x14ac:dyDescent="0.25">
      <c r="B73" s="4" t="s">
        <v>32</v>
      </c>
      <c r="C73" s="76" t="str">
        <f>IF(COUNTIF(C11:C35, "LMI") + COUNTIF(C11:C35, "UN") = 0, "", COUNTIF(C11:C35, "LMI") / (COUNTIF(C11:C35, "LMI") + COUNTIF(C11:C35, "UN")))</f>
        <v/>
      </c>
      <c r="D73" s="82" t="str">
        <f>IF(C73="", "", IF(C73&lt;0.65, "LMI Percentage cannot fall below 65%", IF(C73&gt;=0.8, "The unit mix must reasonably align with the Program target of 70% LMI and 30% UN units.", "")))</f>
        <v/>
      </c>
    </row>
    <row r="75" spans="2:5" ht="18" customHeight="1" x14ac:dyDescent="0.3">
      <c r="B75" s="91" t="s">
        <v>33</v>
      </c>
      <c r="C75" s="92"/>
    </row>
    <row r="76" spans="2:5" x14ac:dyDescent="0.25">
      <c r="B76" s="4" t="s">
        <v>34</v>
      </c>
      <c r="C76" s="11">
        <v>15000000</v>
      </c>
    </row>
    <row r="77" spans="2:5" ht="15.75" thickBot="1" x14ac:dyDescent="0.3">
      <c r="B77" s="14" t="s">
        <v>35</v>
      </c>
      <c r="C77" s="24">
        <f>0.2*construction_costs[[#Totals],[Proposed Sales Price]]</f>
        <v>0</v>
      </c>
    </row>
    <row r="78" spans="2:5" ht="15.75" thickTop="1" x14ac:dyDescent="0.25">
      <c r="B78" s="12" t="s">
        <v>36</v>
      </c>
      <c r="C78" s="16">
        <f>15000000-C77</f>
        <v>15000000</v>
      </c>
    </row>
  </sheetData>
  <sheetProtection sheet="1" objects="1" scenarios="1" formatColumns="0" formatRows="0" selectLockedCells="1"/>
  <protectedRanges>
    <protectedRange sqref="D11:G35 I11:I35 B11:B35" name="Range1"/>
  </protectedRanges>
  <mergeCells count="4">
    <mergeCell ref="B68:C68"/>
    <mergeCell ref="B38:E38"/>
    <mergeCell ref="B75:C75"/>
    <mergeCell ref="B9:I9"/>
  </mergeCells>
  <phoneticPr fontId="2" type="noConversion"/>
  <conditionalFormatting sqref="B11:B35">
    <cfRule type="duplicateValues" dxfId="36" priority="7"/>
  </conditionalFormatting>
  <conditionalFormatting sqref="F11:F35">
    <cfRule type="expression" dxfId="35" priority="1">
      <formula>AND($C11="4 Bedroom", $E11&gt;1600)</formula>
    </cfRule>
    <cfRule type="expression" dxfId="34" priority="2">
      <formula>AND($C11="3 Bedroom", $E11&gt;1400)</formula>
    </cfRule>
    <cfRule type="expression" dxfId="33" priority="3">
      <formula>AND($C11="2 Bedroom", $E11&gt;1200)</formula>
    </cfRule>
    <cfRule type="expression" dxfId="32" priority="8">
      <formula>AND($D11="4 Bedroom", $F11&gt;1600)</formula>
    </cfRule>
    <cfRule type="expression" dxfId="31" priority="9">
      <formula>AND($D11="3 Bedroom", $F11&gt;1400)</formula>
    </cfRule>
    <cfRule type="expression" dxfId="30" priority="10">
      <formula>AND($D11="2 Bedroom", $F11&gt;1200)</formula>
    </cfRule>
  </conditionalFormatting>
  <dataValidations count="3">
    <dataValidation type="list" allowBlank="1" showInputMessage="1" showErrorMessage="1" sqref="D11:D35" xr:uid="{718367C0-CA4C-4566-9F48-D1E2F8D645AD}">
      <formula1>"2 Bedroom,3 Bedroom,4 Bedroom"</formula1>
    </dataValidation>
    <dataValidation type="list" allowBlank="1" showInputMessage="1" showErrorMessage="1" sqref="E11:E35" xr:uid="{120CACCC-1D6A-4897-97EE-1ED188E27F8B}">
      <formula1>"Attached,Detached"</formula1>
    </dataValidation>
    <dataValidation type="list" allowBlank="1" showInputMessage="1" showErrorMessage="1" sqref="C11:C35" xr:uid="{5316E086-D4AA-4B56-B8E6-77ADC01EF5C5}">
      <formula1>"LMI,UN"</formula1>
    </dataValidation>
  </dataValidations>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B8DC0-E764-4E52-9498-5F881FB7FE97}">
  <sheetPr codeName="Sheet7"/>
  <dimension ref="B2:G60"/>
  <sheetViews>
    <sheetView showGridLines="0" topLeftCell="A54" zoomScaleNormal="100" workbookViewId="0">
      <selection activeCell="D5" sqref="D5"/>
    </sheetView>
  </sheetViews>
  <sheetFormatPr defaultColWidth="8.85546875" defaultRowHeight="15" x14ac:dyDescent="0.25"/>
  <cols>
    <col min="1" max="1" width="8.85546875" style="1"/>
    <col min="2" max="2" width="64.140625" style="1" bestFit="1" customWidth="1"/>
    <col min="3" max="3" width="17.85546875" style="3" customWidth="1"/>
    <col min="4" max="4" width="44.140625" style="50" customWidth="1"/>
    <col min="5" max="5" width="50.28515625" style="1" customWidth="1"/>
    <col min="6" max="6" width="8.28515625" style="1" customWidth="1"/>
    <col min="7" max="16384" width="8.85546875" style="1"/>
  </cols>
  <sheetData>
    <row r="2" spans="2:4" ht="20.25" x14ac:dyDescent="0.3">
      <c r="B2" s="47" t="s">
        <v>37</v>
      </c>
    </row>
    <row r="3" spans="2:4" s="49" customFormat="1" ht="36" customHeight="1" x14ac:dyDescent="0.25">
      <c r="B3" s="94" t="s">
        <v>38</v>
      </c>
      <c r="C3" s="94"/>
      <c r="D3" s="94"/>
    </row>
    <row r="4" spans="2:4" ht="18.75" x14ac:dyDescent="0.3">
      <c r="B4" s="91" t="s">
        <v>39</v>
      </c>
      <c r="C4" s="92"/>
      <c r="D4" s="58" t="s">
        <v>40</v>
      </c>
    </row>
    <row r="5" spans="2:4" x14ac:dyDescent="0.25">
      <c r="B5" s="4" t="s">
        <v>41</v>
      </c>
      <c r="C5" s="67">
        <v>0</v>
      </c>
      <c r="D5" s="68"/>
    </row>
    <row r="6" spans="2:4" x14ac:dyDescent="0.25">
      <c r="B6" s="4" t="s">
        <v>42</v>
      </c>
      <c r="C6" s="67">
        <v>0</v>
      </c>
      <c r="D6" s="68"/>
    </row>
    <row r="7" spans="2:4" x14ac:dyDescent="0.25">
      <c r="B7" s="4" t="s">
        <v>43</v>
      </c>
      <c r="C7" s="13">
        <f>SUM(C5:C6)</f>
        <v>0</v>
      </c>
      <c r="D7" s="66"/>
    </row>
    <row r="9" spans="2:4" ht="18.75" x14ac:dyDescent="0.3">
      <c r="B9" s="91" t="s">
        <v>44</v>
      </c>
      <c r="C9" s="92"/>
      <c r="D9" s="58" t="s">
        <v>40</v>
      </c>
    </row>
    <row r="10" spans="2:4" x14ac:dyDescent="0.25">
      <c r="B10" s="4" t="s">
        <v>31</v>
      </c>
      <c r="C10" s="11">
        <f ca="1">'2. Unit Mix'!C71</f>
        <v>0</v>
      </c>
      <c r="D10" s="68"/>
    </row>
    <row r="11" spans="2:4" x14ac:dyDescent="0.25">
      <c r="B11" s="4" t="s">
        <v>45</v>
      </c>
      <c r="C11" s="67">
        <v>0</v>
      </c>
      <c r="D11" s="68"/>
    </row>
    <row r="12" spans="2:4" x14ac:dyDescent="0.25">
      <c r="B12" s="4" t="s">
        <v>46</v>
      </c>
      <c r="C12" s="67">
        <v>0</v>
      </c>
      <c r="D12" s="68"/>
    </row>
    <row r="13" spans="2:4" x14ac:dyDescent="0.25">
      <c r="B13" s="4" t="s">
        <v>47</v>
      </c>
      <c r="C13" s="67">
        <v>0</v>
      </c>
      <c r="D13" s="68"/>
    </row>
    <row r="14" spans="2:4" x14ac:dyDescent="0.25">
      <c r="B14" s="4" t="s">
        <v>48</v>
      </c>
      <c r="C14" s="13">
        <f ca="1">SUM(C10:C13)</f>
        <v>0</v>
      </c>
      <c r="D14" s="66"/>
    </row>
    <row r="16" spans="2:4" ht="18.75" x14ac:dyDescent="0.3">
      <c r="B16" s="93" t="s">
        <v>49</v>
      </c>
      <c r="C16" s="93"/>
      <c r="D16" s="58" t="s">
        <v>40</v>
      </c>
    </row>
    <row r="17" spans="2:5" x14ac:dyDescent="0.25">
      <c r="B17" s="4" t="s">
        <v>50</v>
      </c>
      <c r="C17" s="67">
        <v>0</v>
      </c>
      <c r="D17" s="68"/>
    </row>
    <row r="18" spans="2:5" x14ac:dyDescent="0.25">
      <c r="B18" s="4" t="s">
        <v>51</v>
      </c>
      <c r="C18" s="67">
        <v>0</v>
      </c>
      <c r="D18" s="68"/>
    </row>
    <row r="19" spans="2:5" x14ac:dyDescent="0.25">
      <c r="B19" s="4" t="s">
        <v>52</v>
      </c>
      <c r="C19" s="67">
        <v>0</v>
      </c>
      <c r="D19" s="68"/>
    </row>
    <row r="20" spans="2:5" x14ac:dyDescent="0.25">
      <c r="B20" s="4" t="s">
        <v>53</v>
      </c>
      <c r="C20" s="67">
        <v>0</v>
      </c>
      <c r="D20" s="68"/>
    </row>
    <row r="21" spans="2:5" x14ac:dyDescent="0.25">
      <c r="B21" s="4" t="s">
        <v>54</v>
      </c>
      <c r="C21" s="67">
        <v>0</v>
      </c>
      <c r="D21" s="68"/>
    </row>
    <row r="22" spans="2:5" x14ac:dyDescent="0.25">
      <c r="B22" s="4" t="s">
        <v>55</v>
      </c>
      <c r="C22" s="67">
        <v>0</v>
      </c>
      <c r="D22" s="68"/>
    </row>
    <row r="23" spans="2:5" x14ac:dyDescent="0.25">
      <c r="B23" s="4" t="s">
        <v>56</v>
      </c>
      <c r="C23" s="67">
        <v>0</v>
      </c>
      <c r="D23" s="68"/>
    </row>
    <row r="24" spans="2:5" x14ac:dyDescent="0.25">
      <c r="B24" s="4" t="s">
        <v>57</v>
      </c>
      <c r="C24" s="67">
        <v>0</v>
      </c>
      <c r="D24" s="68"/>
    </row>
    <row r="25" spans="2:5" x14ac:dyDescent="0.25">
      <c r="B25" s="4" t="s">
        <v>58</v>
      </c>
      <c r="C25" s="67">
        <v>0</v>
      </c>
      <c r="D25" s="68"/>
    </row>
    <row r="26" spans="2:5" ht="15.75" x14ac:dyDescent="0.25">
      <c r="B26" s="4" t="s">
        <v>59</v>
      </c>
      <c r="C26" s="13">
        <f>SUM(C17:C25)</f>
        <v>0</v>
      </c>
      <c r="D26" s="66"/>
      <c r="E26" s="18" t="str">
        <f ca="1">IF(C60=0, "", IF(C26/C60&gt;0.28, "Soft costs cannot exceed 28% of Total Development Cost.", ""))</f>
        <v/>
      </c>
    </row>
    <row r="28" spans="2:5" ht="18.75" x14ac:dyDescent="0.3">
      <c r="B28" s="93" t="s">
        <v>60</v>
      </c>
      <c r="C28" s="93"/>
      <c r="D28" s="58" t="s">
        <v>40</v>
      </c>
    </row>
    <row r="29" spans="2:5" x14ac:dyDescent="0.25">
      <c r="B29" s="4" t="s">
        <v>60</v>
      </c>
      <c r="C29" s="67">
        <v>0</v>
      </c>
      <c r="D29" s="68"/>
    </row>
    <row r="32" spans="2:5" ht="18.75" x14ac:dyDescent="0.3">
      <c r="B32" s="93" t="s">
        <v>61</v>
      </c>
      <c r="C32" s="93"/>
      <c r="D32" s="58" t="s">
        <v>40</v>
      </c>
    </row>
    <row r="33" spans="2:4" x14ac:dyDescent="0.25">
      <c r="B33" s="4" t="s">
        <v>62</v>
      </c>
      <c r="C33" s="67">
        <v>0</v>
      </c>
      <c r="D33" s="68"/>
    </row>
    <row r="34" spans="2:4" x14ac:dyDescent="0.25">
      <c r="B34" s="4" t="s">
        <v>63</v>
      </c>
      <c r="C34" s="67">
        <v>0</v>
      </c>
      <c r="D34" s="68"/>
    </row>
    <row r="35" spans="2:4" x14ac:dyDescent="0.25">
      <c r="B35" s="4" t="s">
        <v>64</v>
      </c>
      <c r="C35" s="67">
        <v>0</v>
      </c>
      <c r="D35" s="68"/>
    </row>
    <row r="36" spans="2:4" x14ac:dyDescent="0.25">
      <c r="B36" s="4" t="s">
        <v>65</v>
      </c>
      <c r="C36" s="13">
        <f>SUM(C33:C35)</f>
        <v>0</v>
      </c>
      <c r="D36" s="66"/>
    </row>
    <row r="37" spans="2:4" x14ac:dyDescent="0.25">
      <c r="C37" s="1"/>
    </row>
    <row r="38" spans="2:4" ht="18.75" x14ac:dyDescent="0.3">
      <c r="B38" s="93" t="s">
        <v>66</v>
      </c>
      <c r="C38" s="93"/>
      <c r="D38" s="58" t="s">
        <v>40</v>
      </c>
    </row>
    <row r="39" spans="2:4" x14ac:dyDescent="0.25">
      <c r="B39" s="70"/>
      <c r="C39" s="67">
        <v>0</v>
      </c>
      <c r="D39" s="68"/>
    </row>
    <row r="40" spans="2:4" x14ac:dyDescent="0.25">
      <c r="B40" s="70"/>
      <c r="C40" s="67">
        <v>0</v>
      </c>
      <c r="D40" s="68"/>
    </row>
    <row r="41" spans="2:4" x14ac:dyDescent="0.25">
      <c r="B41" s="70"/>
      <c r="C41" s="67">
        <v>0</v>
      </c>
      <c r="D41" s="68"/>
    </row>
    <row r="42" spans="2:4" x14ac:dyDescent="0.25">
      <c r="B42" s="70"/>
      <c r="C42" s="67">
        <v>0</v>
      </c>
      <c r="D42" s="68"/>
    </row>
    <row r="43" spans="2:4" x14ac:dyDescent="0.25">
      <c r="B43" s="70"/>
      <c r="C43" s="67">
        <v>0</v>
      </c>
      <c r="D43" s="68"/>
    </row>
    <row r="44" spans="2:4" x14ac:dyDescent="0.25">
      <c r="B44" s="70"/>
      <c r="C44" s="67">
        <v>0</v>
      </c>
      <c r="D44" s="68"/>
    </row>
    <row r="45" spans="2:4" ht="15.75" thickBot="1" x14ac:dyDescent="0.3">
      <c r="B45" s="70"/>
      <c r="C45" s="69">
        <v>0</v>
      </c>
      <c r="D45" s="68"/>
    </row>
    <row r="46" spans="2:4" x14ac:dyDescent="0.25">
      <c r="B46" s="4" t="s">
        <v>67</v>
      </c>
      <c r="C46" s="13">
        <f>SUM(C39:C45)</f>
        <v>0</v>
      </c>
      <c r="D46" s="66"/>
    </row>
    <row r="48" spans="2:4" ht="18.75" x14ac:dyDescent="0.3">
      <c r="B48" s="93" t="s">
        <v>68</v>
      </c>
      <c r="C48" s="93"/>
      <c r="D48" s="58" t="s">
        <v>40</v>
      </c>
    </row>
    <row r="49" spans="2:7" x14ac:dyDescent="0.25">
      <c r="B49" s="4" t="s">
        <v>69</v>
      </c>
      <c r="C49" s="67">
        <v>0</v>
      </c>
      <c r="D49" s="68"/>
      <c r="E49" s="95" t="str">
        <f ca="1">IF('3. Development Costs'!C59&gt;'3. Development Costs'!C60*0.1,"Developer Fee exceeds 10% of the TDC. Current percentage =", "")</f>
        <v/>
      </c>
      <c r="F49" s="95"/>
      <c r="G49" s="81" t="str">
        <f ca="1">IF('3. Development Costs'!C59&gt;0.1*'3. Development Costs'!C60, '3. Development Costs'!C59/'3. Development Costs'!C60, "")</f>
        <v/>
      </c>
    </row>
    <row r="51" spans="2:7" ht="18.75" x14ac:dyDescent="0.3">
      <c r="B51" s="56" t="s">
        <v>70</v>
      </c>
      <c r="C51" s="4" t="s">
        <v>71</v>
      </c>
    </row>
    <row r="52" spans="2:7" x14ac:dyDescent="0.25">
      <c r="B52" s="4" t="s">
        <v>39</v>
      </c>
      <c r="C52" s="11">
        <f>'3. Development Costs'!C7</f>
        <v>0</v>
      </c>
    </row>
    <row r="53" spans="2:7" x14ac:dyDescent="0.25">
      <c r="B53" s="4" t="s">
        <v>44</v>
      </c>
      <c r="C53" s="11">
        <f ca="1">'3. Development Costs'!C14</f>
        <v>0</v>
      </c>
    </row>
    <row r="54" spans="2:7" x14ac:dyDescent="0.25">
      <c r="B54" s="4" t="s">
        <v>49</v>
      </c>
      <c r="C54" s="11">
        <f>'3. Development Costs'!C26</f>
        <v>0</v>
      </c>
    </row>
    <row r="55" spans="2:7" x14ac:dyDescent="0.25">
      <c r="B55" s="4" t="s">
        <v>60</v>
      </c>
      <c r="C55" s="11">
        <f>'3. Development Costs'!C29</f>
        <v>0</v>
      </c>
    </row>
    <row r="56" spans="2:7" x14ac:dyDescent="0.25">
      <c r="B56" s="4" t="s">
        <v>61</v>
      </c>
      <c r="C56" s="11">
        <f>'3. Development Costs'!C36</f>
        <v>0</v>
      </c>
    </row>
    <row r="57" spans="2:7" x14ac:dyDescent="0.25">
      <c r="B57" s="4" t="s">
        <v>66</v>
      </c>
      <c r="C57" s="11">
        <f>'3. Development Costs'!C46</f>
        <v>0</v>
      </c>
    </row>
    <row r="58" spans="2:7" hidden="1" x14ac:dyDescent="0.25">
      <c r="B58" s="4" t="s">
        <v>72</v>
      </c>
      <c r="C58" s="13">
        <f ca="1">SUM(C52:C57)</f>
        <v>0</v>
      </c>
    </row>
    <row r="59" spans="2:7" ht="15.75" thickBot="1" x14ac:dyDescent="0.3">
      <c r="B59" s="4" t="s">
        <v>73</v>
      </c>
      <c r="C59" s="15">
        <f>'3. Development Costs'!C49</f>
        <v>0</v>
      </c>
    </row>
    <row r="60" spans="2:7" ht="15.75" thickTop="1" x14ac:dyDescent="0.25">
      <c r="B60" s="4" t="s">
        <v>72</v>
      </c>
      <c r="C60" s="16">
        <f ca="1">SUM(C58:C59)</f>
        <v>0</v>
      </c>
    </row>
  </sheetData>
  <sheetProtection algorithmName="SHA-512" hashValue="3tVD5koLbB5cErsreRB1kPW/qsVRODa4Lpfr92jkp1U0e4OSWYF0Uf/jcPA8XGZDmUpfNIZFe208LR9u7KqxoA==" saltValue="w1/jogq6oshZ8YzBtOCiTA==" spinCount="100000" sheet="1" objects="1" scenarios="1" formatColumns="0" formatRows="0" selectLockedCells="1"/>
  <protectedRanges>
    <protectedRange sqref="D10:D13 C29:D29 C49:D49 B39:D45 C5:D6 C11:C13 C17:D25 C33:D35" name="Range1"/>
  </protectedRanges>
  <mergeCells count="9">
    <mergeCell ref="B3:D3"/>
    <mergeCell ref="E49:F49"/>
    <mergeCell ref="B38:C38"/>
    <mergeCell ref="B48:C48"/>
    <mergeCell ref="B4:C4"/>
    <mergeCell ref="B9:C9"/>
    <mergeCell ref="B16:C16"/>
    <mergeCell ref="B28:C28"/>
    <mergeCell ref="B32:C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16E67-8D52-4B05-8D0D-9DE095A1B175}">
  <sheetPr codeName="Sheet8"/>
  <dimension ref="B2:F19"/>
  <sheetViews>
    <sheetView showGridLines="0" zoomScaleNormal="130" workbookViewId="0">
      <selection activeCell="C12" sqref="C12"/>
    </sheetView>
  </sheetViews>
  <sheetFormatPr defaultColWidth="9.140625" defaultRowHeight="15" x14ac:dyDescent="0.25"/>
  <cols>
    <col min="1" max="1" width="9.140625" style="1"/>
    <col min="2" max="2" width="65.42578125" style="1" bestFit="1" customWidth="1"/>
    <col min="3" max="3" width="26.140625" style="1" customWidth="1"/>
    <col min="4" max="4" width="34.28515625" style="1" bestFit="1" customWidth="1"/>
    <col min="5" max="5" width="31.42578125" style="1" customWidth="1"/>
    <col min="6" max="6" width="59" style="1" customWidth="1"/>
    <col min="7" max="8" width="9.140625" style="1"/>
    <col min="9" max="9" width="11.140625" style="1" customWidth="1"/>
    <col min="10" max="10" width="11.5703125" style="1" customWidth="1"/>
    <col min="11" max="16384" width="9.140625" style="1"/>
  </cols>
  <sheetData>
    <row r="2" spans="2:6" ht="20.25" x14ac:dyDescent="0.3">
      <c r="B2" s="47" t="s">
        <v>74</v>
      </c>
    </row>
    <row r="3" spans="2:6" ht="49.9" customHeight="1" x14ac:dyDescent="0.25">
      <c r="B3" s="98" t="s">
        <v>75</v>
      </c>
      <c r="C3" s="98"/>
    </row>
    <row r="5" spans="2:6" ht="15.75" x14ac:dyDescent="0.25">
      <c r="B5" s="96" t="s">
        <v>76</v>
      </c>
      <c r="C5" s="97"/>
    </row>
    <row r="6" spans="2:6" x14ac:dyDescent="0.25">
      <c r="B6" s="4" t="s">
        <v>77</v>
      </c>
      <c r="C6" s="11">
        <f ca="1">MIN('2. Unit Mix'!C78,'3. Development Costs'!C60-'2. Unit Mix'!C72)</f>
        <v>0</v>
      </c>
    </row>
    <row r="7" spans="2:6" ht="15.75" thickBot="1" x14ac:dyDescent="0.3">
      <c r="B7" s="17" t="s">
        <v>78</v>
      </c>
      <c r="C7" s="57">
        <f ca="1">IF('3. Development Costs'!C60&lt;='2. Unit Mix'!C78,'2. Unit Mix'!C72,IF('3. Development Costs'!C60-'2. Unit Mix'!C78&lt;='2. Unit Mix'!C72,'2. Unit Mix'!C72+('3. Development Costs'!C60-'2. Unit Mix'!C78),'3. Development Costs'!C60-'2. Unit Mix'!C78))</f>
        <v>0</v>
      </c>
    </row>
    <row r="8" spans="2:6" ht="15.75" thickTop="1" x14ac:dyDescent="0.25">
      <c r="B8" s="4" t="s">
        <v>79</v>
      </c>
      <c r="C8" s="13">
        <f ca="1">'3. Development Costs'!C60</f>
        <v>0</v>
      </c>
    </row>
    <row r="9" spans="2:6" x14ac:dyDescent="0.25">
      <c r="B9" s="52"/>
      <c r="C9" s="53"/>
      <c r="D9" s="51"/>
    </row>
    <row r="10" spans="2:6" ht="15.75" x14ac:dyDescent="0.25">
      <c r="B10" s="96" t="s">
        <v>80</v>
      </c>
      <c r="C10" s="97"/>
      <c r="D10" s="4" t="s">
        <v>81</v>
      </c>
      <c r="E10" s="51"/>
      <c r="F10" s="51"/>
    </row>
    <row r="11" spans="2:6" x14ac:dyDescent="0.25">
      <c r="B11" s="4" t="s">
        <v>82</v>
      </c>
      <c r="C11" s="67">
        <v>0</v>
      </c>
      <c r="D11" s="68"/>
    </row>
    <row r="12" spans="2:6" x14ac:dyDescent="0.25">
      <c r="B12" s="12" t="s">
        <v>83</v>
      </c>
      <c r="C12" s="67">
        <v>0</v>
      </c>
      <c r="D12" s="68"/>
    </row>
    <row r="13" spans="2:6" ht="15.75" thickBot="1" x14ac:dyDescent="0.3">
      <c r="B13" s="55" t="s">
        <v>84</v>
      </c>
      <c r="C13" s="71">
        <v>0</v>
      </c>
      <c r="D13" s="68"/>
      <c r="E13" s="82" t="str" cm="1">
        <f t="array" aca="1" ref="E13" ca="1">IF(INDIRECT("C13")&gt;0, "Funds entered here are subject to review and may be considered duplicative.", "")</f>
        <v/>
      </c>
    </row>
    <row r="14" spans="2:6" x14ac:dyDescent="0.25">
      <c r="B14" s="12" t="s">
        <v>85</v>
      </c>
      <c r="C14" s="16" cm="1">
        <f t="array" aca="1" ref="C14" ca="1">INDIRECT("C11") + INDIRECT("C12") + INDIRECT("C13")</f>
        <v>0</v>
      </c>
    </row>
    <row r="15" spans="2:6" x14ac:dyDescent="0.25">
      <c r="B15" s="12" t="s">
        <v>86</v>
      </c>
      <c r="C15" s="16">
        <f ca="1">C14+C6</f>
        <v>0</v>
      </c>
    </row>
    <row r="17" spans="2:4" ht="15.75" x14ac:dyDescent="0.25">
      <c r="B17" s="96" t="s">
        <v>87</v>
      </c>
      <c r="C17" s="97"/>
    </row>
    <row r="18" spans="2:4" x14ac:dyDescent="0.25">
      <c r="B18" s="4" t="s">
        <v>88</v>
      </c>
      <c r="C18" s="19">
        <f ca="1">C15-C8</f>
        <v>0</v>
      </c>
      <c r="D18" s="82" t="str">
        <f ca="1">IF(C18&lt;0, "Funding Deficit", "")</f>
        <v/>
      </c>
    </row>
    <row r="19" spans="2:4" x14ac:dyDescent="0.25">
      <c r="B19" s="4" t="s">
        <v>89</v>
      </c>
      <c r="C19" s="16">
        <f ca="1">IF(C18&gt;0, C6-C18, IF(C18&lt;0, "Sources do not equal uses", C6))</f>
        <v>0</v>
      </c>
      <c r="D19" s="54" t="str">
        <f ca="1">IF(C18&gt;0, "Grant reduced due to surplus", "")</f>
        <v/>
      </c>
    </row>
  </sheetData>
  <sheetProtection algorithmName="SHA-512" hashValue="XNg4/FJc6ZyRr1wvF0/DsFT0s6ijX5Ml07g7W2KhwDiclojCQ+hBOneVf0JBF7GDtCA2fA8cmwEkUQ+4F2fXUA==" saltValue="Fzmoh7cLfCBywOMzMtwepQ==" spinCount="100000" sheet="1" objects="1" scenarios="1" formatColumns="0" formatRows="0" selectLockedCells="1"/>
  <protectedRanges>
    <protectedRange sqref="C11 C11:D13" name="Range1"/>
  </protectedRanges>
  <mergeCells count="4">
    <mergeCell ref="B5:C5"/>
    <mergeCell ref="B17:C17"/>
    <mergeCell ref="B10:C10"/>
    <mergeCell ref="B3:C3"/>
  </mergeCells>
  <conditionalFormatting sqref="C7">
    <cfRule type="expression" dxfId="1" priority="1">
      <formula>$C$15&gt;=$C$8</formula>
    </cfRule>
  </conditionalFormatting>
  <conditionalFormatting sqref="C18">
    <cfRule type="expression" dxfId="0" priority="2">
      <formula>$C$18&gt;0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8EB41-9148-4CF5-B504-1C199E0DF38E}">
  <sheetPr codeName="Sheet10"/>
  <dimension ref="B1:E15"/>
  <sheetViews>
    <sheetView showGridLines="0" zoomScale="120" zoomScaleNormal="120" workbookViewId="0">
      <selection activeCell="D21" sqref="D21"/>
    </sheetView>
  </sheetViews>
  <sheetFormatPr defaultColWidth="9.140625" defaultRowHeight="15" x14ac:dyDescent="0.25"/>
  <cols>
    <col min="1" max="1" width="21.85546875" style="1" bestFit="1" customWidth="1"/>
    <col min="2" max="2" width="33.42578125" style="1" customWidth="1"/>
    <col min="3" max="3" width="30.28515625" style="1" bestFit="1" customWidth="1"/>
    <col min="4" max="4" width="24.5703125" style="1" bestFit="1" customWidth="1"/>
    <col min="5" max="5" width="25" style="1" bestFit="1" customWidth="1"/>
    <col min="6" max="16384" width="9.140625" style="1"/>
  </cols>
  <sheetData>
    <row r="1" spans="2:5" ht="15.75" thickBot="1" x14ac:dyDescent="0.3"/>
    <row r="2" spans="2:5" x14ac:dyDescent="0.25">
      <c r="B2" s="46" t="s">
        <v>90</v>
      </c>
      <c r="C2" s="27" t="s">
        <v>91</v>
      </c>
      <c r="D2" s="27" t="s">
        <v>92</v>
      </c>
      <c r="E2" s="28" t="s">
        <v>93</v>
      </c>
    </row>
    <row r="3" spans="2:5" x14ac:dyDescent="0.25">
      <c r="B3" s="29" t="s">
        <v>94</v>
      </c>
      <c r="C3" s="22">
        <v>0</v>
      </c>
      <c r="D3" s="22"/>
      <c r="E3" s="30"/>
    </row>
    <row r="4" spans="2:5" ht="15.75" thickBot="1" x14ac:dyDescent="0.3">
      <c r="B4" s="31" t="s">
        <v>95</v>
      </c>
      <c r="C4" s="26">
        <v>0</v>
      </c>
      <c r="D4" s="26"/>
      <c r="E4" s="32"/>
    </row>
    <row r="5" spans="2:5" x14ac:dyDescent="0.25">
      <c r="B5" s="33" t="s">
        <v>96</v>
      </c>
      <c r="C5" s="13">
        <f>C4/12</f>
        <v>0</v>
      </c>
      <c r="D5" s="13"/>
      <c r="E5" s="34"/>
    </row>
    <row r="6" spans="2:5" ht="15.75" thickBot="1" x14ac:dyDescent="0.3">
      <c r="B6" s="31" t="s">
        <v>97</v>
      </c>
      <c r="C6" s="43">
        <f>C5*0.3</f>
        <v>0</v>
      </c>
      <c r="D6" s="43"/>
      <c r="E6" s="44"/>
    </row>
    <row r="7" spans="2:5" x14ac:dyDescent="0.25">
      <c r="B7" s="33" t="s">
        <v>98</v>
      </c>
      <c r="C7" s="41">
        <v>0.2</v>
      </c>
      <c r="D7" s="41"/>
      <c r="E7" s="42"/>
    </row>
    <row r="8" spans="2:5" x14ac:dyDescent="0.25">
      <c r="B8" s="29" t="s">
        <v>99</v>
      </c>
      <c r="C8" s="11">
        <f>C3*(1-C7)</f>
        <v>0</v>
      </c>
      <c r="D8" s="11"/>
      <c r="E8" s="35"/>
    </row>
    <row r="9" spans="2:5" x14ac:dyDescent="0.25">
      <c r="B9" s="29" t="s">
        <v>100</v>
      </c>
      <c r="C9" s="20">
        <v>0.06</v>
      </c>
      <c r="D9" s="20"/>
      <c r="E9" s="36"/>
    </row>
    <row r="10" spans="2:5" x14ac:dyDescent="0.25">
      <c r="B10" s="29" t="s">
        <v>101</v>
      </c>
      <c r="C10" s="21">
        <v>30</v>
      </c>
      <c r="D10" s="21"/>
      <c r="E10" s="37"/>
    </row>
    <row r="11" spans="2:5" x14ac:dyDescent="0.25">
      <c r="B11" s="33" t="s">
        <v>102</v>
      </c>
      <c r="C11" s="13">
        <f>PMT(C9/12, C10*12, -C8)</f>
        <v>0</v>
      </c>
      <c r="D11" s="13"/>
      <c r="E11" s="34"/>
    </row>
    <row r="12" spans="2:5" x14ac:dyDescent="0.25">
      <c r="B12" s="29" t="s">
        <v>103</v>
      </c>
      <c r="C12" s="23">
        <v>0</v>
      </c>
      <c r="D12" s="23"/>
      <c r="E12" s="38"/>
    </row>
    <row r="13" spans="2:5" ht="15.75" thickBot="1" x14ac:dyDescent="0.3">
      <c r="B13" s="31" t="s">
        <v>104</v>
      </c>
      <c r="C13" s="39">
        <f>C11+C12</f>
        <v>0</v>
      </c>
      <c r="D13" s="39"/>
      <c r="E13" s="40"/>
    </row>
    <row r="14" spans="2:5" x14ac:dyDescent="0.25">
      <c r="B14" s="33" t="s">
        <v>105</v>
      </c>
      <c r="C14" s="25">
        <f>MAX(0, ((C6 - C12) * ((1 + C9/12)^(C10*12) - 1)) / (C9/12 * (1 + C9/12)^(C10*12)) / (1 - C7))</f>
        <v>0</v>
      </c>
      <c r="D14" s="25"/>
      <c r="E14" s="45"/>
    </row>
    <row r="15" spans="2:5" ht="15.75" thickBot="1" x14ac:dyDescent="0.3">
      <c r="B15" s="31" t="s">
        <v>106</v>
      </c>
      <c r="C15" s="39" t="str">
        <f>IF(C13&lt;=C6,"Yes","No")</f>
        <v>Yes</v>
      </c>
      <c r="D15" s="39"/>
      <c r="E15" s="4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E4D01D9395CE418ACB97FBF39B93F1" ma:contentTypeVersion="15" ma:contentTypeDescription="Create a new document." ma:contentTypeScope="" ma:versionID="b8e3da0656559e7a6738369512c1934d">
  <xsd:schema xmlns:xsd="http://www.w3.org/2001/XMLSchema" xmlns:xs="http://www.w3.org/2001/XMLSchema" xmlns:p="http://schemas.microsoft.com/office/2006/metadata/properties" xmlns:ns2="770c9142-c820-48be-9092-92bdf702daab" xmlns:ns3="5319c99a-5e02-49d7-9888-dde778b4bdb2" targetNamespace="http://schemas.microsoft.com/office/2006/metadata/properties" ma:root="true" ma:fieldsID="0d51a447c4ce735aa89578c51e8e940f" ns2:_="" ns3:_="">
    <xsd:import namespace="770c9142-c820-48be-9092-92bdf702daab"/>
    <xsd:import namespace="5319c99a-5e02-49d7-9888-dde778b4bd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c9142-c820-48be-9092-92bdf702d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19c99a-5e02-49d7-9888-dde778b4bd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be2b852-bced-495e-b48e-83db8f7c5420}" ma:internalName="TaxCatchAll" ma:showField="CatchAllData" ma:web="5319c99a-5e02-49d7-9888-dde778b4bd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0c9142-c820-48be-9092-92bdf702daab">
      <Terms xmlns="http://schemas.microsoft.com/office/infopath/2007/PartnerControls"/>
    </lcf76f155ced4ddcb4097134ff3c332f>
    <TaxCatchAll xmlns="5319c99a-5e02-49d7-9888-dde778b4bdb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63FA24-11AC-4B65-81E2-DE2579C4706A}"/>
</file>

<file path=customXml/itemProps2.xml><?xml version="1.0" encoding="utf-8"?>
<ds:datastoreItem xmlns:ds="http://schemas.openxmlformats.org/officeDocument/2006/customXml" ds:itemID="{A341E5C6-CC6B-425F-9C86-BFB8139BDD00}">
  <ds:schemaRefs>
    <ds:schemaRef ds:uri="http://schemas.microsoft.com/office/2006/metadata/properties"/>
    <ds:schemaRef ds:uri="http://schemas.microsoft.com/office/infopath/2007/PartnerControls"/>
    <ds:schemaRef ds:uri="8a0632e2-793a-4530-b118-388df73f0879"/>
    <ds:schemaRef ds:uri="http://schemas.microsoft.com/sharepoint/v3"/>
    <ds:schemaRef ds:uri="756b4754-cefe-4389-96e2-78b858b2c082"/>
    <ds:schemaRef ds:uri="5244380d-45e5-45d5-9319-d2c70e268631"/>
  </ds:schemaRefs>
</ds:datastoreItem>
</file>

<file path=customXml/itemProps3.xml><?xml version="1.0" encoding="utf-8"?>
<ds:datastoreItem xmlns:ds="http://schemas.openxmlformats.org/officeDocument/2006/customXml" ds:itemID="{408A3AEC-9F52-4E72-B5F2-95CACDC8FC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Instructions</vt:lpstr>
      <vt:lpstr>2. Unit Mix</vt:lpstr>
      <vt:lpstr>3. Development Costs</vt:lpstr>
      <vt:lpstr>4. Sources and Uses</vt:lpstr>
      <vt:lpstr>Affordability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Santos, Daniel [DCA]</dc:creator>
  <cp:keywords/>
  <dc:description/>
  <cp:lastModifiedBy>Santos, Daniel [DCA]</cp:lastModifiedBy>
  <cp:revision/>
  <dcterms:created xsi:type="dcterms:W3CDTF">2024-05-21T20:36:59Z</dcterms:created>
  <dcterms:modified xsi:type="dcterms:W3CDTF">2025-01-24T19:55:00Z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0x010100A2E4D01D9395CE418ACB97FBF39B93F1</vt:lpwstr>
  </property>
  <property fmtid="{D5CDD505-2E9C-101B-9397-08002B2CF9AE}" pid="3" name="MediaServiceImageTags">
    <vt:lpwstr/>
  </property>
</Properties>
</file>